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Z:\Literatur\Bücher\2020 K3-Blatt-Kalk\Beispiele\Web=Aktuell\"/>
    </mc:Choice>
  </mc:AlternateContent>
  <xr:revisionPtr revIDLastSave="0" documentId="13_ncr:1_{C0F0D7FF-93BF-4AA9-BEF5-81BEAE7BC667}" xr6:coauthVersionLast="36" xr6:coauthVersionMax="36" xr10:uidLastSave="{00000000-0000-0000-0000-000000000000}"/>
  <workbookProtection workbookPassword="962C" lockStructure="1"/>
  <bookViews>
    <workbookView xWindow="-120" yWindow="-120" windowWidth="29040" windowHeight="15840" tabRatio="805" activeTab="3" xr2:uid="{00000000-000D-0000-FFFF-FFFF00000000}"/>
  </bookViews>
  <sheets>
    <sheet name="Lizenz u lies mich" sheetId="29" r:id="rId1"/>
    <sheet name="L-Rechner" sheetId="31" state="hidden" r:id="rId2"/>
    <sheet name="Stammdaten" sheetId="17" r:id="rId3"/>
    <sheet name="Projekt" sheetId="19" r:id="rId4"/>
    <sheet name="Report" sheetId="33" r:id="rId5"/>
    <sheet name="K2 GZ" sheetId="20" r:id="rId6"/>
    <sheet name="K2a Z f ..." sheetId="32" r:id="rId7"/>
    <sheet name=" K3 PP" sheetId="16" r:id="rId8"/>
    <sheet name=" K3 Regie1" sheetId="27" r:id="rId9"/>
    <sheet name=" K3 Regie2" sheetId="28" r:id="rId10"/>
    <sheet name=" K3 Regie3" sheetId="34" r:id="rId11"/>
    <sheet name=" K3 Regie4" sheetId="37" r:id="rId12"/>
    <sheet name=" K3 Regiepartie1" sheetId="38" r:id="rId13"/>
  </sheets>
  <externalReferences>
    <externalReference r:id="rId14"/>
    <externalReference r:id="rId15"/>
    <externalReference r:id="rId16"/>
  </externalReferences>
  <definedNames>
    <definedName name="_Anzeige_Prozent">Projekt!$F$272</definedName>
    <definedName name="_F1">Projekt!$L$54</definedName>
    <definedName name="_F10">Projekt!$L$52</definedName>
    <definedName name="_F11">Projekt!$L$51</definedName>
    <definedName name="_F12">Projekt!$L$135</definedName>
    <definedName name="_F13">Projekt!$L$136</definedName>
    <definedName name="_F14">Projekt!$L$178</definedName>
    <definedName name="_F15">Projekt!$L$197</definedName>
    <definedName name="_F16">Projekt!$L$198</definedName>
    <definedName name="_F2">Projekt!$L$55</definedName>
    <definedName name="_F3">Projekt!$L$96</definedName>
    <definedName name="_F4">Projekt!$L$137</definedName>
    <definedName name="_F5">Projekt!$L$158</definedName>
    <definedName name="_F6">Projekt!$L$211</definedName>
    <definedName name="_F7">Projekt!$L$238</definedName>
    <definedName name="_F8">Projekt!$L$266</definedName>
    <definedName name="_F9">Projekt!$L$267</definedName>
    <definedName name="_OK?" comment="Lizent OK, dann OK!">'Lizenz u lies mich'!$Q$16</definedName>
    <definedName name="_OK_KV?">Stammdaten!$P$12</definedName>
    <definedName name="_Test">'Lizenz u lies mich'!$H$30</definedName>
    <definedName name="_Verband" comment="Kennzeichen für Universallizenz">'Lizenz u lies mich'!$O$9</definedName>
    <definedName name="_Verband_KollV2">'Lizenz u lies mich'!$R$20</definedName>
    <definedName name="_Verband_KollV3">'Lizenz u lies mich'!$R$21</definedName>
    <definedName name="_Verband_KollV4">'Lizenz u lies mich'!$R$22</definedName>
    <definedName name="_Verband_KollV5">'Lizenz u lies mich'!$R$23</definedName>
    <definedName name="_WAZ1">[1]SOLL_AZ.XLS!$H$58</definedName>
    <definedName name="_WAZ2">[1]SOLL_AZ.XLS!$I$58</definedName>
    <definedName name="AB_10b">[1]SOLL_AZ.XLS!$I$161</definedName>
    <definedName name="AB_20">[1]SOLL_AZ.XLS!$I$185</definedName>
    <definedName name="AB_21">[1]KALK.XLS!$M$409</definedName>
    <definedName name="AB_6">[1]SOLL_AZ.XLS!$I$108</definedName>
    <definedName name="AB_7a">[1]SOLL_AZ.XLS!$I$115</definedName>
    <definedName name="AB_7b">[1]SOLL_AZ.XLS!$I$120</definedName>
    <definedName name="AB_8a">[1]SOLL_AZ.XLS!$I$139</definedName>
    <definedName name="AB_A">[1]KALK.XLS!$M$6</definedName>
    <definedName name="AB_B">[1]KALK.XLS!$M$8</definedName>
    <definedName name="AB_C">[1]KALK.XLS!$M$12</definedName>
    <definedName name="AB_ML">[1]KALK.XLS!$M$21</definedName>
    <definedName name="AB_U">[1]KALK.XLS!$M$418</definedName>
    <definedName name="AB_WBF">[1]SV_SATZ.XLS!$H$12</definedName>
    <definedName name="Arb_IE">[1]SV_SATZ.XLS!$E$27</definedName>
    <definedName name="Arb_KV">[1]SV_SATZ.XLS!$E$29</definedName>
    <definedName name="ARB_KV_AN">[1]SV_SATZ.XLS!$F$29</definedName>
    <definedName name="Arb_UV">[1]SV_SATZ.XLS!$E$31</definedName>
    <definedName name="AufzahlungsSTD" localSheetId="6">'[2]Stamm KV-Daten'!$A$50:$A$59</definedName>
    <definedName name="AufzahlungsSTD" localSheetId="0">'Lizenz u lies mich'!#REF!</definedName>
    <definedName name="AufzahlungsSTD" localSheetId="1">'L-Rechner'!#REF!</definedName>
    <definedName name="AufzahlungsSTD">Stammdaten!$A$50:$A$54</definedName>
    <definedName name="AufzahlungsStdEURO" localSheetId="6">'[2]Stamm KV-Daten'!$A$61:$A$65</definedName>
    <definedName name="AufzahlungsStdEURO" localSheetId="0">'Lizenz u lies mich'!#REF!</definedName>
    <definedName name="AufzahlungsStdEURO" localSheetId="1">'L-Rechner'!#REF!</definedName>
    <definedName name="AufzahlungsStdEURO">Stammdaten!$A$56:$A$60</definedName>
    <definedName name="AZ_1">[1]SOLL_AZ.XLS!$H$196</definedName>
    <definedName name="AZ_2">[1]SOLL_AZ.XLS!$I$196</definedName>
    <definedName name="AZ_AB">[1]SOLL_AZ.XLS!$I$197</definedName>
    <definedName name="AZ_BIS">[1]SOLL_AZ.XLS!$H$197</definedName>
    <definedName name="BIS_10b">[1]SOLL_AZ.XLS!$H$161</definedName>
    <definedName name="BIS_11">[1]SOLL_AZ.XLS!$H$168</definedName>
    <definedName name="BIS_12">[1]SOLL_AZ.XLS!$H$174</definedName>
    <definedName name="BIS_13">[1]SOLL_AZ.XLS!$H$190</definedName>
    <definedName name="BIS_20">[1]SOLL_AZ.XLS!$H$184</definedName>
    <definedName name="Bis_3">[1]SOLL_AZ.XLS!$H$79</definedName>
    <definedName name="BIS_4">[1]SOLL_AZ.XLS!$H$86</definedName>
    <definedName name="BIS_5">[1]SOLL_AZ.XLS!$H$93</definedName>
    <definedName name="BIS_6">[1]SOLL_AZ.XLS!$H$108</definedName>
    <definedName name="BIS_7a">[1]SOLL_AZ.XLS!$H$115</definedName>
    <definedName name="BIS_7b">[1]SOLL_AZ.XLS!$H$120</definedName>
    <definedName name="BIS_8a">[1]SOLL_AZ.XLS!$H$139</definedName>
    <definedName name="BIS_9">[1]SOLL_AZ.XLS!$H$155</definedName>
    <definedName name="BIS_A">[1]KALK.XLS!$L$6</definedName>
    <definedName name="BIS_B">[1]KALK.XLS!$L$8</definedName>
    <definedName name="BIS_C">[1]KALK.XLS!$L$12</definedName>
    <definedName name="BIS_ML">[1]KALK.XLS!$L$21</definedName>
    <definedName name="BIS_U">[1]KALK.XLS!$L$418</definedName>
    <definedName name="BIS_WBF">[1]SV_SATZ.XLS!$G$12</definedName>
    <definedName name="DienstreiseSTD" localSheetId="6">'[2]Stamm KV-Daten'!$A$117:$A$119</definedName>
    <definedName name="DienstreiseSTD" localSheetId="0">'Lizenz u lies mich'!#REF!</definedName>
    <definedName name="DienstreiseSTD" localSheetId="1">'L-Rechner'!#REF!</definedName>
    <definedName name="DienstreiseSTD">Stammdaten!$A$114:$A$116</definedName>
    <definedName name="DienstreiseTAG" localSheetId="6">'[2]Stamm KV-Daten'!$A$103:$A$114</definedName>
    <definedName name="DienstreiseTAG" localSheetId="0">'Lizenz u lies mich'!#REF!</definedName>
    <definedName name="DienstreiseTAG" localSheetId="1">'L-Rechner'!#REF!</definedName>
    <definedName name="DienstreiseTAG">Stammdaten!$A$100:$A$111</definedName>
    <definedName name="DienstreiseWOCHE" localSheetId="6">'[2]Stamm KV-Daten'!$A$122:$A$127</definedName>
    <definedName name="DienstreiseWOCHE" localSheetId="0">'Lizenz u lies mich'!#REF!</definedName>
    <definedName name="DienstreiseWOCHE" localSheetId="1">'L-Rechner'!#REF!</definedName>
    <definedName name="DienstreiseWOCHE">Stammdaten!$A$119:$A$124</definedName>
    <definedName name="_xlnm.Print_Area" localSheetId="7">' K3 PP'!$A$1:$P$47</definedName>
    <definedName name="_xlnm.Print_Area" localSheetId="5">'K2 GZ'!$A$1:$L$27</definedName>
    <definedName name="_xlnm.Print_Area" localSheetId="6">'K2a Z f ...'!$A$1:$L$29</definedName>
    <definedName name="_xlnm.Print_Area" localSheetId="0">'Lizenz u lies mich'!#REF!</definedName>
    <definedName name="_xlnm.Print_Area" localSheetId="1">'L-Rechner'!#REF!</definedName>
    <definedName name="_xlnm.Print_Area" localSheetId="3">Projekt!$A$1:$I$599</definedName>
    <definedName name="_xlnm.Print_Area" localSheetId="2">Stammdaten!$A$1:$F$156</definedName>
    <definedName name="ErschwernisZul" localSheetId="6">'[2]Stamm KV-Daten'!$A$71:$A$97</definedName>
    <definedName name="ErschwernisZul" localSheetId="0">'Lizenz u lies mich'!#REF!</definedName>
    <definedName name="ErschwernisZul" localSheetId="1">'L-Rechner'!#REF!</definedName>
    <definedName name="ErschwernisZul">Stammdaten!$A$68:$A$94</definedName>
    <definedName name="HB_Grundl1">[1]SV_SATZ.XLS!$E$39</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'K2 GZ'!$H$21:$H$26</definedName>
    <definedName name="KVBezeichnung" localSheetId="6">'[2]Stamm KV-Daten'!$A$7:$A$33</definedName>
    <definedName name="KVBezeichnung" localSheetId="0">'Lizenz u lies mich'!#REF!</definedName>
    <definedName name="KVBezeichnung" localSheetId="1">'L-Rechner'!#REF!</definedName>
    <definedName name="KVBezeichnung">Stammdaten!$A$7:$A$33</definedName>
    <definedName name="MehrarbeitsStd" localSheetId="6">'[2]Stamm KV-Daten'!$A$39:$A$48</definedName>
    <definedName name="MehrarbeitsStd" localSheetId="0">'Lizenz u lies mich'!#REF!</definedName>
    <definedName name="MehrarbeitsStd" localSheetId="1">'L-Rechner'!#REF!</definedName>
    <definedName name="MehrarbeitsStd">Stammdaten!$A$39:$A$48</definedName>
    <definedName name="sdsddsdsds" hidden="1">{"'Zusammenfassung für ÖSTAT'!$A$1:$G$55"}</definedName>
    <definedName name="SV_AB">[1]SV_SATZ.XLS!$H$15</definedName>
    <definedName name="SV_BIS">[1]SV_SATZ.XLS!$G$15</definedName>
    <definedName name="UmlagenK3spalteA" localSheetId="6">[2]Projekt!$A$242:$A$246</definedName>
    <definedName name="UmlagenK3spalteA">Projekt!$A$252:$A$256</definedName>
    <definedName name="wwwww" hidden="1">{"'Zusammenfassung für ÖSTAT'!$A$1:$G$55"}</definedName>
    <definedName name="xx">[3]SOLL_AZ.XLS!$I$160</definedName>
  </definedNames>
  <calcPr calcId="191029" fullPrecision="0"/>
</workbook>
</file>

<file path=xl/calcChain.xml><?xml version="1.0" encoding="utf-8"?>
<calcChain xmlns="http://schemas.openxmlformats.org/spreadsheetml/2006/main">
  <c r="J247" i="19" l="1"/>
  <c r="J248" i="19"/>
  <c r="J249" i="19"/>
  <c r="A598" i="19"/>
  <c r="A597" i="19"/>
  <c r="M35" i="27" l="1"/>
  <c r="M35" i="28"/>
  <c r="M35" i="34"/>
  <c r="M35" i="37"/>
  <c r="M35" i="38"/>
  <c r="M35" i="16"/>
  <c r="J246" i="19"/>
  <c r="A253" i="19"/>
  <c r="F253" i="19" s="1"/>
  <c r="G253" i="19" l="1"/>
  <c r="A2" i="17" l="1"/>
  <c r="G272" i="19"/>
  <c r="I231" i="19" l="1"/>
  <c r="I221" i="19"/>
  <c r="D189" i="19"/>
  <c r="D187" i="19"/>
  <c r="A47" i="27"/>
  <c r="A47" i="28"/>
  <c r="A47" i="34"/>
  <c r="A47" i="37"/>
  <c r="A47" i="38"/>
  <c r="A47" i="16"/>
  <c r="D77" i="19"/>
  <c r="C77" i="19"/>
  <c r="D154" i="19" l="1"/>
  <c r="D155" i="19"/>
  <c r="D156" i="19"/>
  <c r="L85" i="19" l="1"/>
  <c r="L64" i="19"/>
  <c r="L65" i="19"/>
  <c r="L66" i="19"/>
  <c r="L67" i="19"/>
  <c r="L68" i="19"/>
  <c r="L69" i="19"/>
  <c r="L63" i="19"/>
  <c r="L82" i="19"/>
  <c r="L83" i="19"/>
  <c r="L81" i="19"/>
  <c r="G88" i="19" l="1"/>
  <c r="I197" i="19" l="1"/>
  <c r="K12" i="38"/>
  <c r="K11" i="38"/>
  <c r="A77" i="19" l="1"/>
  <c r="B5" i="19" l="1"/>
  <c r="M45" i="16" l="1"/>
  <c r="M40" i="16"/>
  <c r="H324" i="19" l="1"/>
  <c r="J479" i="19"/>
  <c r="J426" i="19"/>
  <c r="J368" i="19"/>
  <c r="J535" i="19"/>
  <c r="J315" i="19"/>
  <c r="D308" i="19" l="1"/>
  <c r="C340" i="19" s="1"/>
  <c r="D361" i="19"/>
  <c r="C393" i="19" s="1"/>
  <c r="D419" i="19"/>
  <c r="C451" i="19" s="1"/>
  <c r="D472" i="19"/>
  <c r="C504" i="19" s="1"/>
  <c r="F2" i="38"/>
  <c r="B38" i="27"/>
  <c r="B37" i="27"/>
  <c r="B37" i="16"/>
  <c r="B38" i="16"/>
  <c r="J511" i="19"/>
  <c r="J512" i="19"/>
  <c r="J513" i="19"/>
  <c r="J510" i="19"/>
  <c r="H12" i="38"/>
  <c r="H13" i="38"/>
  <c r="H14" i="38"/>
  <c r="B12" i="38"/>
  <c r="B13" i="38"/>
  <c r="B14" i="38"/>
  <c r="B11" i="38"/>
  <c r="H11" i="38"/>
  <c r="B37" i="38"/>
  <c r="B38" i="38"/>
  <c r="B36" i="38"/>
  <c r="M6" i="38"/>
  <c r="J6" i="38"/>
  <c r="E6" i="38"/>
  <c r="J5" i="38"/>
  <c r="E5" i="38"/>
  <c r="G4" i="38"/>
  <c r="C4" i="38"/>
  <c r="G1" i="38"/>
  <c r="A507" i="19"/>
  <c r="A454" i="19"/>
  <c r="A401" i="19"/>
  <c r="A343" i="19"/>
  <c r="A290" i="19"/>
  <c r="E514" i="19"/>
  <c r="F513" i="19" s="1"/>
  <c r="F510" i="19" l="1"/>
  <c r="F512" i="19"/>
  <c r="F511" i="19"/>
  <c r="H19" i="38"/>
  <c r="I543" i="19" l="1"/>
  <c r="J542" i="19"/>
  <c r="I539" i="19"/>
  <c r="J538" i="19"/>
  <c r="I535" i="19"/>
  <c r="H534" i="19"/>
  <c r="P19" i="38" s="1"/>
  <c r="I533" i="19"/>
  <c r="H533" i="19"/>
  <c r="K25" i="38" s="1"/>
  <c r="I525" i="19"/>
  <c r="J519" i="19"/>
  <c r="E517" i="19"/>
  <c r="F520" i="19" s="1"/>
  <c r="J516" i="19"/>
  <c r="I516" i="19"/>
  <c r="H520" i="19" l="1"/>
  <c r="F516" i="19"/>
  <c r="F517" i="19" s="1"/>
  <c r="I172" i="19"/>
  <c r="F26" i="19" l="1"/>
  <c r="F27" i="19"/>
  <c r="F28" i="19"/>
  <c r="F29" i="19"/>
  <c r="F30" i="19"/>
  <c r="G43" i="19"/>
  <c r="A40" i="19"/>
  <c r="C12" i="29" l="1"/>
  <c r="C10" i="29"/>
  <c r="C8" i="29"/>
  <c r="I131" i="19" l="1"/>
  <c r="H131" i="19"/>
  <c r="E32" i="19" l="1"/>
  <c r="B14" i="16"/>
  <c r="B15" i="16"/>
  <c r="B16" i="16"/>
  <c r="B17" i="16"/>
  <c r="B18" i="16"/>
  <c r="F25" i="19" l="1"/>
  <c r="F23" i="19"/>
  <c r="F31" i="19"/>
  <c r="F24" i="19"/>
  <c r="A29" i="32"/>
  <c r="A27" i="20"/>
  <c r="J486" i="19" l="1"/>
  <c r="J482" i="19"/>
  <c r="J463" i="19"/>
  <c r="J460" i="19"/>
  <c r="J433" i="19"/>
  <c r="J429" i="19"/>
  <c r="J410" i="19"/>
  <c r="J407" i="19"/>
  <c r="F217" i="19"/>
  <c r="J216" i="19" s="1"/>
  <c r="B38" i="37" l="1"/>
  <c r="B37" i="37"/>
  <c r="B36" i="37"/>
  <c r="K12" i="34"/>
  <c r="K12" i="37"/>
  <c r="K11" i="34"/>
  <c r="A590" i="19" s="1"/>
  <c r="K11" i="37"/>
  <c r="A594" i="19" s="1"/>
  <c r="H10" i="37"/>
  <c r="H19" i="37" s="1"/>
  <c r="B10" i="37"/>
  <c r="A593" i="19" s="1"/>
  <c r="F2" i="37"/>
  <c r="M6" i="37"/>
  <c r="J6" i="37"/>
  <c r="E6" i="37"/>
  <c r="J5" i="37"/>
  <c r="E5" i="37"/>
  <c r="G4" i="37"/>
  <c r="C4" i="37"/>
  <c r="G1" i="37"/>
  <c r="I487" i="19"/>
  <c r="I483" i="19"/>
  <c r="I479" i="19"/>
  <c r="H478" i="19"/>
  <c r="I477" i="19"/>
  <c r="H477" i="19"/>
  <c r="K25" i="37" s="1"/>
  <c r="I469" i="19"/>
  <c r="E461" i="19"/>
  <c r="H464" i="19" s="1"/>
  <c r="I460" i="19"/>
  <c r="E458" i="19"/>
  <c r="B38" i="34"/>
  <c r="B37" i="34"/>
  <c r="B36" i="34"/>
  <c r="H10" i="34"/>
  <c r="H19" i="34" s="1"/>
  <c r="B10" i="34"/>
  <c r="A589" i="19" s="1"/>
  <c r="F2" i="34"/>
  <c r="M6" i="34"/>
  <c r="J6" i="34"/>
  <c r="E6" i="34"/>
  <c r="J5" i="34"/>
  <c r="E5" i="34"/>
  <c r="G4" i="34"/>
  <c r="C4" i="34"/>
  <c r="G1" i="34"/>
  <c r="I434" i="19"/>
  <c r="I430" i="19"/>
  <c r="I426" i="19"/>
  <c r="H425" i="19"/>
  <c r="P19" i="34" s="1"/>
  <c r="I424" i="19"/>
  <c r="H424" i="19"/>
  <c r="K25" i="34" s="1"/>
  <c r="I416" i="19"/>
  <c r="E408" i="19"/>
  <c r="I407" i="19"/>
  <c r="E405" i="19"/>
  <c r="L94" i="19"/>
  <c r="P19" i="37" l="1"/>
  <c r="F407" i="19"/>
  <c r="F408" i="19" s="1"/>
  <c r="H411" i="19"/>
  <c r="F411" i="19"/>
  <c r="F464" i="19"/>
  <c r="F460" i="19"/>
  <c r="F461" i="19" l="1"/>
  <c r="I4" i="17" l="1"/>
  <c r="N39" i="29"/>
  <c r="N38" i="29"/>
  <c r="N37" i="29"/>
  <c r="N36" i="29"/>
  <c r="N35" i="29"/>
  <c r="N34" i="29"/>
  <c r="N33" i="29"/>
  <c r="C39" i="17"/>
  <c r="B3" i="17"/>
  <c r="B8" i="38" l="1"/>
  <c r="A22" i="19"/>
  <c r="B8" i="37"/>
  <c r="B8" i="34"/>
  <c r="H136" i="19"/>
  <c r="G136" i="19"/>
  <c r="N32" i="29"/>
  <c r="N31" i="29"/>
  <c r="N30" i="29"/>
  <c r="N29" i="29"/>
  <c r="O9" i="29" l="1"/>
  <c r="O30" i="29" l="1"/>
  <c r="B23" i="29"/>
  <c r="H6" i="17"/>
  <c r="O34" i="29"/>
  <c r="O35" i="29"/>
  <c r="O36" i="29"/>
  <c r="O37" i="29"/>
  <c r="O33" i="29"/>
  <c r="M2" i="17" s="1"/>
  <c r="N2" i="17" s="1"/>
  <c r="O38" i="29"/>
  <c r="O40" i="29"/>
  <c r="M10" i="17" s="1"/>
  <c r="O39" i="29"/>
  <c r="O29" i="29"/>
  <c r="I6" i="17" s="1"/>
  <c r="A17" i="29"/>
  <c r="O32" i="29"/>
  <c r="O31" i="29"/>
  <c r="O28" i="29"/>
  <c r="O27" i="29"/>
  <c r="N11" i="29" s="1"/>
  <c r="G3" i="17"/>
  <c r="Q10" i="29" l="1"/>
  <c r="B24" i="29" l="1"/>
  <c r="N14" i="29" l="1"/>
  <c r="O14" i="29"/>
  <c r="P14" i="29" s="1"/>
  <c r="Q14" i="29" l="1"/>
  <c r="B12" i="32" l="1"/>
  <c r="I24" i="32" s="1"/>
  <c r="B13" i="32"/>
  <c r="I25" i="32" s="1"/>
  <c r="B14" i="32"/>
  <c r="I26" i="32" s="1"/>
  <c r="B15" i="32"/>
  <c r="I27" i="32" s="1"/>
  <c r="B16" i="32"/>
  <c r="I28" i="32" s="1"/>
  <c r="B11" i="32"/>
  <c r="I23" i="32" s="1"/>
  <c r="H28" i="32"/>
  <c r="F28" i="32"/>
  <c r="D28" i="32"/>
  <c r="B28" i="32"/>
  <c r="H27" i="32"/>
  <c r="F27" i="32"/>
  <c r="D27" i="32"/>
  <c r="B27" i="32"/>
  <c r="H26" i="32"/>
  <c r="F26" i="32"/>
  <c r="D26" i="32"/>
  <c r="B26" i="32"/>
  <c r="H25" i="32"/>
  <c r="F25" i="32"/>
  <c r="D25" i="32"/>
  <c r="B25" i="32"/>
  <c r="H24" i="32"/>
  <c r="F24" i="32"/>
  <c r="D24" i="32"/>
  <c r="B24" i="32"/>
  <c r="H23" i="32"/>
  <c r="F23" i="32"/>
  <c r="D23" i="32"/>
  <c r="B23" i="32"/>
  <c r="F16" i="32"/>
  <c r="G16" i="32" s="1"/>
  <c r="I16" i="32" s="1"/>
  <c r="J16" i="32" s="1"/>
  <c r="L16" i="32" s="1"/>
  <c r="F15" i="32"/>
  <c r="G15" i="32" s="1"/>
  <c r="I15" i="32" s="1"/>
  <c r="F14" i="32"/>
  <c r="G14" i="32" s="1"/>
  <c r="I14" i="32" s="1"/>
  <c r="J14" i="32" s="1"/>
  <c r="L14" i="32" s="1"/>
  <c r="F13" i="32"/>
  <c r="F12" i="32"/>
  <c r="G12" i="32" s="1"/>
  <c r="I12" i="32" s="1"/>
  <c r="J12" i="32" s="1"/>
  <c r="L12" i="32" s="1"/>
  <c r="F11" i="32"/>
  <c r="G11" i="32" s="1"/>
  <c r="I11" i="32" s="1"/>
  <c r="G13" i="32" l="1"/>
  <c r="I13" i="32" s="1"/>
  <c r="J13" i="32" s="1"/>
  <c r="L13" i="32" s="1"/>
  <c r="K26" i="32"/>
  <c r="E13" i="20" s="1"/>
  <c r="J11" i="32"/>
  <c r="L11" i="32" s="1"/>
  <c r="K23" i="32" s="1"/>
  <c r="E10" i="20" s="1"/>
  <c r="K28" i="32"/>
  <c r="E15" i="20" s="1"/>
  <c r="J15" i="32"/>
  <c r="L15" i="32" s="1"/>
  <c r="K27" i="32" s="1"/>
  <c r="E14" i="20" s="1"/>
  <c r="K24" i="32"/>
  <c r="E11" i="20" s="1"/>
  <c r="K25" i="32" l="1"/>
  <c r="E12" i="20" s="1"/>
  <c r="D9" i="19" l="1"/>
  <c r="D8" i="19"/>
  <c r="I277" i="19"/>
  <c r="I275" i="19"/>
  <c r="K5" i="28" l="1"/>
  <c r="K5" i="34"/>
  <c r="K5" i="37"/>
  <c r="K5" i="38"/>
  <c r="K5" i="16"/>
  <c r="A4" i="32"/>
  <c r="K5" i="27"/>
  <c r="A4" i="20"/>
  <c r="A3" i="20"/>
  <c r="K4" i="28"/>
  <c r="K4" i="16"/>
  <c r="A3" i="32"/>
  <c r="K4" i="27"/>
  <c r="K4" i="34"/>
  <c r="K4" i="37"/>
  <c r="K4" i="38"/>
  <c r="B3" i="31"/>
  <c r="B25" i="31" s="1"/>
  <c r="C25" i="31" s="1"/>
  <c r="B2" i="31"/>
  <c r="B7" i="31" s="1"/>
  <c r="C7" i="31" s="1"/>
  <c r="B14" i="29" l="1"/>
  <c r="B4" i="31" s="1"/>
  <c r="B17" i="31"/>
  <c r="C17" i="31" s="1"/>
  <c r="B21" i="31"/>
  <c r="C21" i="31" s="1"/>
  <c r="B22" i="31"/>
  <c r="C22" i="31" s="1"/>
  <c r="D22" i="31" s="1"/>
  <c r="B19" i="31"/>
  <c r="C19" i="31" s="1"/>
  <c r="D19" i="31" s="1"/>
  <c r="E19" i="31" s="1"/>
  <c r="B23" i="31"/>
  <c r="C23" i="31" s="1"/>
  <c r="D23" i="31" s="1"/>
  <c r="E23" i="31" s="1"/>
  <c r="B15" i="31"/>
  <c r="C15" i="31" s="1"/>
  <c r="D15" i="31" s="1"/>
  <c r="E15" i="31" s="1"/>
  <c r="B11" i="31"/>
  <c r="C11" i="31" s="1"/>
  <c r="D11" i="31" s="1"/>
  <c r="B13" i="31"/>
  <c r="C13" i="31" s="1"/>
  <c r="F2" i="31"/>
  <c r="B6" i="31"/>
  <c r="D7" i="31"/>
  <c r="E7" i="31" s="1"/>
  <c r="D25" i="31"/>
  <c r="E25" i="31" s="1"/>
  <c r="B8" i="31"/>
  <c r="B10" i="31"/>
  <c r="B14" i="31"/>
  <c r="B18" i="31"/>
  <c r="B24" i="31"/>
  <c r="F3" i="31"/>
  <c r="B16" i="31"/>
  <c r="B20" i="31"/>
  <c r="A51" i="31"/>
  <c r="D21" i="31" l="1"/>
  <c r="E21" i="31" s="1"/>
  <c r="D13" i="31"/>
  <c r="E13" i="31" s="1"/>
  <c r="F4" i="31"/>
  <c r="B9" i="31" s="1"/>
  <c r="C9" i="31" s="1"/>
  <c r="D9" i="31" s="1"/>
  <c r="B5" i="31"/>
  <c r="C10" i="31"/>
  <c r="E22" i="31"/>
  <c r="C8" i="31"/>
  <c r="D8" i="31" s="1"/>
  <c r="E8" i="31" s="1"/>
  <c r="D17" i="31"/>
  <c r="E17" i="31" s="1"/>
  <c r="C20" i="31"/>
  <c r="B12" i="31"/>
  <c r="C14" i="31"/>
  <c r="D14" i="31" s="1"/>
  <c r="E14" i="31" s="1"/>
  <c r="C16" i="31"/>
  <c r="C18" i="31"/>
  <c r="E11" i="31"/>
  <c r="C24" i="31"/>
  <c r="C6" i="31"/>
  <c r="D6" i="31" s="1"/>
  <c r="E6" i="31" s="1"/>
  <c r="G185" i="19"/>
  <c r="D18" i="31" l="1"/>
  <c r="E18" i="31" s="1"/>
  <c r="D24" i="31"/>
  <c r="E24" i="31" s="1"/>
  <c r="D20" i="31"/>
  <c r="E20" i="31" s="1"/>
  <c r="D10" i="31"/>
  <c r="E10" i="31" s="1"/>
  <c r="D16" i="31"/>
  <c r="E16" i="31" s="1"/>
  <c r="C5" i="31"/>
  <c r="D5" i="31" s="1"/>
  <c r="C12" i="31"/>
  <c r="E9" i="31"/>
  <c r="E5" i="31" l="1"/>
  <c r="D12" i="31"/>
  <c r="E12" i="31" l="1"/>
  <c r="K12" i="28"/>
  <c r="K11" i="28"/>
  <c r="A586" i="19" s="1"/>
  <c r="K11" i="27"/>
  <c r="A582" i="19" s="1"/>
  <c r="K12" i="27"/>
  <c r="I376" i="19"/>
  <c r="I372" i="19"/>
  <c r="I368" i="19"/>
  <c r="I366" i="19"/>
  <c r="I358" i="19"/>
  <c r="I323" i="19"/>
  <c r="J322" i="19"/>
  <c r="I319" i="19"/>
  <c r="J318" i="19"/>
  <c r="I315" i="19"/>
  <c r="J375" i="19"/>
  <c r="J104" i="19"/>
  <c r="J105" i="19"/>
  <c r="J103" i="19"/>
  <c r="B15" i="29" l="1"/>
  <c r="E347" i="19"/>
  <c r="Q15" i="29" l="1"/>
  <c r="H5" i="19"/>
  <c r="L5" i="19" s="1"/>
  <c r="E37" i="19"/>
  <c r="F35" i="19" l="1"/>
  <c r="F36" i="19"/>
  <c r="I95" i="19"/>
  <c r="C17" i="19"/>
  <c r="J371" i="19"/>
  <c r="F17" i="19" l="1"/>
  <c r="F45" i="16" s="1"/>
  <c r="F40" i="16"/>
  <c r="I313" i="19"/>
  <c r="I305" i="19"/>
  <c r="J352" i="19"/>
  <c r="J299" i="19"/>
  <c r="J349" i="19"/>
  <c r="J296" i="19"/>
  <c r="J188" i="19"/>
  <c r="J186" i="19"/>
  <c r="J183" i="19"/>
  <c r="J185" i="19"/>
  <c r="I178" i="19"/>
  <c r="J170" i="19"/>
  <c r="J169" i="19"/>
  <c r="J168" i="19"/>
  <c r="J164" i="19"/>
  <c r="J163" i="19"/>
  <c r="J162" i="19"/>
  <c r="J154" i="19"/>
  <c r="J155" i="19"/>
  <c r="J156" i="19"/>
  <c r="J157" i="19"/>
  <c r="J153" i="19"/>
  <c r="I136" i="19"/>
  <c r="I135" i="19"/>
  <c r="J111" i="19"/>
  <c r="J112" i="19"/>
  <c r="J113" i="19"/>
  <c r="J114" i="19"/>
  <c r="J115" i="19"/>
  <c r="J110" i="19"/>
  <c r="J91" i="19"/>
  <c r="J83" i="19"/>
  <c r="J82" i="19"/>
  <c r="J81" i="19"/>
  <c r="J85" i="19"/>
  <c r="J71" i="19"/>
  <c r="J64" i="19"/>
  <c r="J65" i="19"/>
  <c r="J66" i="19"/>
  <c r="J67" i="19"/>
  <c r="J68" i="19"/>
  <c r="J69" i="19"/>
  <c r="J63" i="19"/>
  <c r="I53" i="19"/>
  <c r="J36" i="19"/>
  <c r="J35" i="19"/>
  <c r="J24" i="19"/>
  <c r="J25" i="19"/>
  <c r="J26" i="19"/>
  <c r="J27" i="19"/>
  <c r="J28" i="19"/>
  <c r="J29" i="19"/>
  <c r="J30" i="19"/>
  <c r="J31" i="19"/>
  <c r="J23" i="19"/>
  <c r="J18" i="19"/>
  <c r="E6" i="28" l="1"/>
  <c r="E5" i="28"/>
  <c r="J6" i="28"/>
  <c r="J5" i="28"/>
  <c r="J6" i="27"/>
  <c r="J5" i="27"/>
  <c r="E6" i="27"/>
  <c r="E5" i="27"/>
  <c r="J6" i="16"/>
  <c r="J5" i="16"/>
  <c r="E6" i="16"/>
  <c r="E5" i="16"/>
  <c r="F245" i="19" l="1"/>
  <c r="A252" i="19" l="1"/>
  <c r="J243" i="19"/>
  <c r="F10" i="20"/>
  <c r="E297" i="19" l="1"/>
  <c r="H367" i="19" l="1"/>
  <c r="P19" i="28" s="1"/>
  <c r="H366" i="19"/>
  <c r="H314" i="19"/>
  <c r="H313" i="19"/>
  <c r="A255" i="19"/>
  <c r="F255" i="19" s="1"/>
  <c r="A256" i="19"/>
  <c r="G256" i="19" l="1"/>
  <c r="F256" i="19"/>
  <c r="G255" i="19"/>
  <c r="B38" i="28" l="1"/>
  <c r="B37" i="28"/>
  <c r="B36" i="28"/>
  <c r="B10" i="28"/>
  <c r="A585" i="19" s="1"/>
  <c r="F2" i="28"/>
  <c r="M6" i="28"/>
  <c r="G4" i="28"/>
  <c r="C4" i="28"/>
  <c r="G1" i="28"/>
  <c r="K25" i="28"/>
  <c r="E350" i="19"/>
  <c r="H353" i="19" s="1"/>
  <c r="I349" i="19"/>
  <c r="F353" i="19" l="1"/>
  <c r="F349" i="19"/>
  <c r="F12" i="20"/>
  <c r="G12" i="20" s="1"/>
  <c r="I12" i="20" s="1"/>
  <c r="J12" i="20" s="1"/>
  <c r="L12" i="20" s="1"/>
  <c r="B23" i="20" s="1"/>
  <c r="F13" i="20"/>
  <c r="G13" i="20" s="1"/>
  <c r="I13" i="20" s="1"/>
  <c r="J13" i="20" s="1"/>
  <c r="L13" i="20" s="1"/>
  <c r="B24" i="20" s="1"/>
  <c r="F14" i="20"/>
  <c r="G14" i="20" s="1"/>
  <c r="I14" i="20" s="1"/>
  <c r="J14" i="20" s="1"/>
  <c r="L14" i="20" s="1"/>
  <c r="B25" i="20" s="1"/>
  <c r="F15" i="20"/>
  <c r="G15" i="20" s="1"/>
  <c r="I15" i="20" s="1"/>
  <c r="J15" i="20" s="1"/>
  <c r="L15" i="20" s="1"/>
  <c r="B26" i="20" s="1"/>
  <c r="D184" i="19"/>
  <c r="F350" i="19" l="1"/>
  <c r="H10" i="28"/>
  <c r="D26" i="20"/>
  <c r="F26" i="20"/>
  <c r="F25" i="20"/>
  <c r="D25" i="20"/>
  <c r="D24" i="20"/>
  <c r="F24" i="20"/>
  <c r="F23" i="20"/>
  <c r="D23" i="20"/>
  <c r="G23" i="20" l="1"/>
  <c r="H19" i="28"/>
  <c r="G26" i="20"/>
  <c r="G25" i="20"/>
  <c r="G24" i="20"/>
  <c r="F11" i="20"/>
  <c r="G11" i="20" s="1"/>
  <c r="I11" i="20" s="1"/>
  <c r="J11" i="20" s="1"/>
  <c r="L11" i="20" s="1"/>
  <c r="B22" i="20" s="1"/>
  <c r="D22" i="20" l="1"/>
  <c r="F22" i="20"/>
  <c r="P15" i="16"/>
  <c r="P12" i="16"/>
  <c r="P13" i="16"/>
  <c r="P14" i="16"/>
  <c r="K13" i="16"/>
  <c r="K14" i="16"/>
  <c r="K15" i="16"/>
  <c r="K12" i="16"/>
  <c r="P11" i="16"/>
  <c r="K11" i="16"/>
  <c r="G22" i="20" l="1"/>
  <c r="H17" i="16" l="1"/>
  <c r="H18" i="16"/>
  <c r="B36" i="27" l="1"/>
  <c r="B10" i="27"/>
  <c r="A581" i="19" s="1"/>
  <c r="F2" i="27"/>
  <c r="M6" i="27"/>
  <c r="G4" i="27"/>
  <c r="C4" i="27"/>
  <c r="G1" i="27"/>
  <c r="F1" i="20"/>
  <c r="F1" i="32" s="1"/>
  <c r="G3" i="20"/>
  <c r="G3" i="32" s="1"/>
  <c r="K3" i="20"/>
  <c r="K3" i="32" s="1"/>
  <c r="G4" i="20"/>
  <c r="G4" i="32" s="1"/>
  <c r="E206" i="19"/>
  <c r="E207" i="19" s="1"/>
  <c r="F45" i="27" l="1"/>
  <c r="B36" i="16" l="1"/>
  <c r="E294" i="19" l="1"/>
  <c r="H22" i="20"/>
  <c r="L22" i="20" s="1"/>
  <c r="N24" i="32" s="1"/>
  <c r="H23" i="20"/>
  <c r="L23" i="20" s="1"/>
  <c r="H24" i="20"/>
  <c r="L24" i="20" s="1"/>
  <c r="N26" i="32" s="1"/>
  <c r="H25" i="20"/>
  <c r="L25" i="20" s="1"/>
  <c r="N27" i="32" s="1"/>
  <c r="H26" i="20"/>
  <c r="L26" i="20" s="1"/>
  <c r="N28" i="32" s="1"/>
  <c r="A254" i="19"/>
  <c r="H21" i="20"/>
  <c r="G10" i="20"/>
  <c r="N25" i="32" l="1"/>
  <c r="F260" i="19"/>
  <c r="F259" i="19"/>
  <c r="F254" i="19"/>
  <c r="F261" i="19"/>
  <c r="G554" i="19"/>
  <c r="K36" i="38" s="1"/>
  <c r="G556" i="19"/>
  <c r="K38" i="38" s="1"/>
  <c r="H300" i="19"/>
  <c r="F300" i="19"/>
  <c r="K25" i="27"/>
  <c r="F296" i="19"/>
  <c r="G254" i="19"/>
  <c r="H10" i="27" l="1"/>
  <c r="B11" i="16"/>
  <c r="B12" i="16"/>
  <c r="B13" i="16"/>
  <c r="B10" i="16"/>
  <c r="M6" i="16"/>
  <c r="G4" i="16"/>
  <c r="C4" i="16"/>
  <c r="F2" i="16"/>
  <c r="G1" i="16"/>
  <c r="I10" i="20"/>
  <c r="J10" i="20" s="1"/>
  <c r="H39" i="19" l="1"/>
  <c r="C51" i="19" s="1"/>
  <c r="G555" i="19"/>
  <c r="K37" i="38" s="1"/>
  <c r="F250" i="19"/>
  <c r="F252" i="19"/>
  <c r="H14" i="16"/>
  <c r="L10" i="20"/>
  <c r="B21" i="20" s="1"/>
  <c r="D21" i="20" s="1"/>
  <c r="H16" i="16"/>
  <c r="H15" i="16"/>
  <c r="F39" i="19"/>
  <c r="E43" i="19" s="1"/>
  <c r="D49" i="33" s="1"/>
  <c r="F556" i="19" l="1"/>
  <c r="F554" i="19"/>
  <c r="F555" i="19"/>
  <c r="H43" i="19"/>
  <c r="C50" i="19" s="1"/>
  <c r="G447" i="19"/>
  <c r="K38" i="34" s="1"/>
  <c r="G500" i="19"/>
  <c r="K38" i="37" s="1"/>
  <c r="G499" i="19"/>
  <c r="K37" i="37" s="1"/>
  <c r="G446" i="19"/>
  <c r="K37" i="34" s="1"/>
  <c r="F498" i="19"/>
  <c r="F499" i="19"/>
  <c r="F446" i="19"/>
  <c r="F445" i="19"/>
  <c r="F388" i="19"/>
  <c r="F447" i="19"/>
  <c r="F500" i="19"/>
  <c r="G498" i="19"/>
  <c r="K36" i="37" s="1"/>
  <c r="G445" i="19"/>
  <c r="K36" i="34" s="1"/>
  <c r="G389" i="19"/>
  <c r="K38" i="28" s="1"/>
  <c r="G259" i="19"/>
  <c r="G387" i="19"/>
  <c r="K36" i="28" s="1"/>
  <c r="F387" i="19"/>
  <c r="G388" i="19"/>
  <c r="K37" i="28" s="1"/>
  <c r="F389" i="19"/>
  <c r="F37" i="19"/>
  <c r="F297" i="19"/>
  <c r="H10" i="16"/>
  <c r="H12" i="16"/>
  <c r="H11" i="16"/>
  <c r="F21" i="20"/>
  <c r="H13" i="16"/>
  <c r="F45" i="19" l="1"/>
  <c r="C49" i="19" s="1"/>
  <c r="C52" i="19" s="1"/>
  <c r="H19" i="16"/>
  <c r="P19" i="27"/>
  <c r="K36" i="16"/>
  <c r="G334" i="19"/>
  <c r="K36" i="27" s="1"/>
  <c r="G335" i="19"/>
  <c r="G336" i="19"/>
  <c r="K38" i="27" s="1"/>
  <c r="F336" i="19"/>
  <c r="F334" i="19"/>
  <c r="F335" i="19"/>
  <c r="G260" i="19"/>
  <c r="K37" i="16" s="1"/>
  <c r="G261" i="19"/>
  <c r="K38" i="16" s="1"/>
  <c r="H19" i="27"/>
  <c r="G21" i="20"/>
  <c r="L21" i="20" s="1"/>
  <c r="G267" i="19" s="1"/>
  <c r="J267" i="19" s="1"/>
  <c r="E559" i="19" l="1"/>
  <c r="N23" i="32"/>
  <c r="E450" i="19"/>
  <c r="E503" i="19"/>
  <c r="E392" i="19"/>
  <c r="K43" i="28" s="1"/>
  <c r="E339" i="19"/>
  <c r="F339" i="19" s="1"/>
  <c r="G266" i="19"/>
  <c r="J266" i="19" s="1"/>
  <c r="F262" i="19"/>
  <c r="G262" i="19"/>
  <c r="K37" i="27"/>
  <c r="J259" i="19" l="1"/>
  <c r="D45" i="33"/>
  <c r="H559" i="19"/>
  <c r="K43" i="38"/>
  <c r="F559" i="19"/>
  <c r="E553" i="19"/>
  <c r="J553" i="19" s="1"/>
  <c r="L266" i="19"/>
  <c r="B20" i="33" s="1"/>
  <c r="H503" i="19"/>
  <c r="K43" i="37"/>
  <c r="F503" i="19"/>
  <c r="H450" i="19"/>
  <c r="F450" i="19"/>
  <c r="K43" i="34"/>
  <c r="E444" i="19"/>
  <c r="J444" i="19" s="1"/>
  <c r="E497" i="19"/>
  <c r="J497" i="19" s="1"/>
  <c r="E386" i="19"/>
  <c r="J386" i="19" s="1"/>
  <c r="E333" i="19"/>
  <c r="J333" i="19" s="1"/>
  <c r="H392" i="19"/>
  <c r="F392" i="19"/>
  <c r="H45" i="19"/>
  <c r="A45" i="19" s="1"/>
  <c r="K43" i="27"/>
  <c r="K43" i="16"/>
  <c r="C570" i="19" s="1"/>
  <c r="H339" i="19"/>
  <c r="I339" i="19"/>
  <c r="D46" i="33" l="1"/>
  <c r="H557" i="19"/>
  <c r="H501" i="19"/>
  <c r="H448" i="19"/>
  <c r="H390" i="19"/>
  <c r="H337" i="19"/>
  <c r="D135" i="19"/>
  <c r="F135" i="19" s="1"/>
  <c r="D208" i="19" s="1"/>
  <c r="L267" i="19"/>
  <c r="B21" i="33" s="1"/>
  <c r="E208" i="19" l="1"/>
  <c r="E209" i="19" s="1"/>
  <c r="B31" i="31" l="1"/>
  <c r="B41" i="31"/>
  <c r="B30" i="31"/>
  <c r="B26" i="31"/>
  <c r="B46" i="31"/>
  <c r="B28" i="31"/>
  <c r="B27" i="31"/>
  <c r="B29" i="31"/>
  <c r="C27" i="31" l="1"/>
  <c r="C26" i="31"/>
  <c r="C30" i="31"/>
  <c r="D30" i="31" s="1"/>
  <c r="E30" i="31" s="1"/>
  <c r="C29" i="31"/>
  <c r="D29" i="31" s="1"/>
  <c r="E29" i="31" s="1"/>
  <c r="C28" i="31"/>
  <c r="C31" i="31"/>
  <c r="D31" i="31" l="1"/>
  <c r="E31" i="31" s="1"/>
  <c r="D27" i="31"/>
  <c r="E27" i="31" s="1"/>
  <c r="D28" i="31"/>
  <c r="E28" i="31" s="1"/>
  <c r="D26" i="31"/>
  <c r="C32" i="31"/>
  <c r="D32" i="31" l="1"/>
  <c r="B37" i="31" s="1"/>
  <c r="C37" i="31" s="1"/>
  <c r="D37" i="31" s="1"/>
  <c r="E37" i="31" s="1"/>
  <c r="F37" i="31" s="1"/>
  <c r="G37" i="31" s="1"/>
  <c r="H37" i="31" s="1"/>
  <c r="E26" i="31"/>
  <c r="E32" i="31" s="1"/>
  <c r="B35" i="31"/>
  <c r="C35" i="31" s="1"/>
  <c r="D35" i="31" s="1"/>
  <c r="E35" i="31" s="1"/>
  <c r="F35" i="31" s="1"/>
  <c r="G35" i="31" s="1"/>
  <c r="H35" i="31" s="1"/>
  <c r="C33" i="31"/>
  <c r="B42" i="31" s="1"/>
  <c r="B38" i="31"/>
  <c r="C38" i="31" s="1"/>
  <c r="D38" i="31" s="1"/>
  <c r="E38" i="31" s="1"/>
  <c r="F38" i="31" s="1"/>
  <c r="G38" i="31" s="1"/>
  <c r="H38" i="31" s="1"/>
  <c r="D33" i="31" l="1"/>
  <c r="B43" i="31" s="1"/>
  <c r="F32" i="31"/>
  <c r="F33" i="31" s="1"/>
  <c r="B45" i="31" s="1"/>
  <c r="E33" i="31"/>
  <c r="B44" i="31" s="1"/>
  <c r="B36" i="31"/>
  <c r="C36" i="31" s="1"/>
  <c r="D36" i="31" s="1"/>
  <c r="E36" i="31" s="1"/>
  <c r="F36" i="31" s="1"/>
  <c r="G36" i="31" s="1"/>
  <c r="H36" i="31" s="1"/>
  <c r="B39" i="31" l="1"/>
  <c r="C39" i="31" s="1"/>
  <c r="D39" i="31" s="1"/>
  <c r="E39" i="31" s="1"/>
  <c r="F39" i="31" s="1"/>
  <c r="G39" i="31" s="1"/>
  <c r="H39" i="31" s="1"/>
  <c r="B48" i="31" s="1"/>
  <c r="N12" i="29" l="1"/>
  <c r="F48" i="31"/>
  <c r="E49" i="31" s="1"/>
  <c r="E48" i="31"/>
  <c r="Q11" i="29" l="1"/>
  <c r="Q16" i="29" s="1"/>
  <c r="E50" i="31"/>
  <c r="H7" i="19" l="1"/>
  <c r="F11" i="29"/>
  <c r="D14" i="29" s="1"/>
  <c r="B8" i="28" l="1"/>
  <c r="B8" i="16"/>
  <c r="B8" i="27"/>
  <c r="B75" i="17"/>
  <c r="C13" i="17"/>
  <c r="C86" i="17"/>
  <c r="E16" i="17"/>
  <c r="C19" i="17"/>
  <c r="A75" i="17"/>
  <c r="A14" i="17"/>
  <c r="C52" i="17"/>
  <c r="B53" i="17"/>
  <c r="C51" i="17"/>
  <c r="B58" i="17"/>
  <c r="B42" i="17"/>
  <c r="C104" i="17"/>
  <c r="A83" i="17"/>
  <c r="C108" i="17"/>
  <c r="B89" i="17"/>
  <c r="C85" i="17"/>
  <c r="A8" i="17"/>
  <c r="A105" i="17"/>
  <c r="B11" i="17"/>
  <c r="C116" i="17"/>
  <c r="A74" i="17"/>
  <c r="C44" i="17"/>
  <c r="C74" i="17"/>
  <c r="C47" i="17"/>
  <c r="A19" i="17"/>
  <c r="A32" i="17"/>
  <c r="B18" i="17"/>
  <c r="A28" i="17"/>
  <c r="B43" i="17"/>
  <c r="C43" i="17"/>
  <c r="B48" i="17"/>
  <c r="C94" i="17"/>
  <c r="C27" i="17"/>
  <c r="A16" i="17"/>
  <c r="E14" i="17"/>
  <c r="C119" i="17"/>
  <c r="C82" i="17"/>
  <c r="A109" i="17"/>
  <c r="C53" i="17"/>
  <c r="B44" i="17"/>
  <c r="E23" i="17"/>
  <c r="C124" i="17"/>
  <c r="B80" i="17"/>
  <c r="C106" i="17"/>
  <c r="C102" i="17"/>
  <c r="C26" i="17"/>
  <c r="B39" i="17"/>
  <c r="E19" i="17"/>
  <c r="A40" i="17"/>
  <c r="B59" i="17"/>
  <c r="B51" i="17"/>
  <c r="A57" i="17"/>
  <c r="B52" i="17"/>
  <c r="B70" i="17"/>
  <c r="C93" i="17"/>
  <c r="B71" i="17"/>
  <c r="B87" i="17"/>
  <c r="B17" i="17"/>
  <c r="B86" i="17"/>
  <c r="C54" i="17"/>
  <c r="B90" i="17"/>
  <c r="C100" i="17"/>
  <c r="C29" i="17"/>
  <c r="C22" i="17"/>
  <c r="C24" i="17"/>
  <c r="A11" i="17"/>
  <c r="A25" i="17"/>
  <c r="A58" i="17"/>
  <c r="C45" i="17"/>
  <c r="A116" i="17"/>
  <c r="B85" i="17"/>
  <c r="B84" i="17"/>
  <c r="B83" i="17"/>
  <c r="A53" i="17"/>
  <c r="A85" i="17"/>
  <c r="B45" i="17"/>
  <c r="A13" i="17"/>
  <c r="C88" i="17"/>
  <c r="C109" i="17"/>
  <c r="C10" i="17"/>
  <c r="A124" i="17"/>
  <c r="A29" i="17"/>
  <c r="A12" i="17"/>
  <c r="C20" i="17"/>
  <c r="A73" i="17"/>
  <c r="A90" i="17"/>
  <c r="A79" i="17"/>
  <c r="B33" i="17"/>
  <c r="C21" i="17"/>
  <c r="A110" i="17"/>
  <c r="A121" i="17"/>
  <c r="A80" i="17"/>
  <c r="E10" i="17"/>
  <c r="B74" i="17"/>
  <c r="A24" i="17"/>
  <c r="C87" i="17"/>
  <c r="B73" i="17"/>
  <c r="A51" i="17"/>
  <c r="B129" i="17"/>
  <c r="C122" i="17"/>
  <c r="A15" i="17"/>
  <c r="B78" i="17"/>
  <c r="B77" i="17"/>
  <c r="A22" i="17"/>
  <c r="C68" i="17"/>
  <c r="A46" i="17"/>
  <c r="C91" i="17"/>
  <c r="A77" i="17"/>
  <c r="E30" i="17"/>
  <c r="E9" i="17"/>
  <c r="A18" i="17"/>
  <c r="C14" i="17"/>
  <c r="C103" i="17"/>
  <c r="A59" i="17"/>
  <c r="C18" i="17"/>
  <c r="C16" i="17"/>
  <c r="B46" i="17"/>
  <c r="C33" i="17"/>
  <c r="A60" i="17"/>
  <c r="C80" i="17"/>
  <c r="A104" i="17"/>
  <c r="A33" i="17"/>
  <c r="C46" i="17"/>
  <c r="C121" i="17"/>
  <c r="C28" i="17"/>
  <c r="C48" i="17"/>
  <c r="A115" i="17"/>
  <c r="A72" i="17"/>
  <c r="C42" i="17"/>
  <c r="E24" i="17"/>
  <c r="C41" i="17"/>
  <c r="A81" i="17"/>
  <c r="C105" i="17"/>
  <c r="A106" i="17"/>
  <c r="A70" i="17"/>
  <c r="C114" i="17"/>
  <c r="B21" i="17"/>
  <c r="A88" i="17"/>
  <c r="A87" i="17"/>
  <c r="A20" i="17"/>
  <c r="C79" i="17"/>
  <c r="A91" i="17"/>
  <c r="B23" i="17"/>
  <c r="A52" i="17"/>
  <c r="E22" i="17"/>
  <c r="A10" i="17"/>
  <c r="A45" i="17"/>
  <c r="B69" i="17"/>
  <c r="E13" i="17"/>
  <c r="C25" i="17"/>
  <c r="C30" i="17"/>
  <c r="C72" i="17"/>
  <c r="B122" i="17"/>
  <c r="C8" i="17"/>
  <c r="A84" i="17"/>
  <c r="B56" i="17"/>
  <c r="E28" i="17"/>
  <c r="B50" i="17"/>
  <c r="E31" i="17"/>
  <c r="A47" i="17"/>
  <c r="E7" i="17"/>
  <c r="B25" i="17"/>
  <c r="B60" i="17"/>
  <c r="B47" i="17"/>
  <c r="A122" i="17"/>
  <c r="E15" i="17"/>
  <c r="A101" i="17"/>
  <c r="C89" i="17"/>
  <c r="E21" i="17"/>
  <c r="C76" i="17"/>
  <c r="B54" i="17"/>
  <c r="C83" i="17"/>
  <c r="E18" i="17"/>
  <c r="A27" i="17"/>
  <c r="B92" i="17"/>
  <c r="B41" i="17"/>
  <c r="B57" i="17"/>
  <c r="C9" i="17"/>
  <c r="C23" i="17"/>
  <c r="C69" i="17"/>
  <c r="B81" i="17"/>
  <c r="E27" i="17"/>
  <c r="C40" i="17"/>
  <c r="E11" i="17"/>
  <c r="A30" i="17"/>
  <c r="C101" i="17"/>
  <c r="C90" i="17"/>
  <c r="A42" i="17"/>
  <c r="E32" i="17"/>
  <c r="E12" i="17"/>
  <c r="B97" i="17"/>
  <c r="C120" i="17"/>
  <c r="E33" i="17"/>
  <c r="A123" i="17"/>
  <c r="B40" i="17"/>
  <c r="B32" i="17"/>
  <c r="A41" i="17"/>
  <c r="A69" i="17"/>
  <c r="A108" i="17"/>
  <c r="B88" i="17"/>
  <c r="A120" i="17"/>
  <c r="B91" i="17"/>
  <c r="E17" i="17"/>
  <c r="A107" i="17"/>
  <c r="C15" i="17"/>
  <c r="C11" i="17"/>
  <c r="B12" i="17"/>
  <c r="C81" i="17"/>
  <c r="C92" i="17"/>
  <c r="C73" i="17"/>
  <c r="A76" i="17"/>
  <c r="B79" i="17"/>
  <c r="A89" i="17"/>
  <c r="A54" i="17"/>
  <c r="A94" i="17"/>
  <c r="B94" i="17"/>
  <c r="E26" i="17"/>
  <c r="C115" i="17"/>
  <c r="A93" i="17"/>
  <c r="C84" i="17"/>
  <c r="B68" i="17"/>
  <c r="B76" i="17"/>
  <c r="A71" i="17"/>
  <c r="D4" i="17"/>
  <c r="A48" i="17"/>
  <c r="A31" i="17"/>
  <c r="E20" i="17"/>
  <c r="C70" i="17"/>
  <c r="C107" i="17"/>
  <c r="C7" i="17"/>
  <c r="C31" i="17"/>
  <c r="A9" i="17"/>
  <c r="A44" i="17"/>
  <c r="C78" i="17"/>
  <c r="E29" i="17"/>
  <c r="A86" i="17"/>
  <c r="B93" i="17"/>
  <c r="E25" i="17"/>
  <c r="C110" i="17"/>
  <c r="C50" i="17"/>
  <c r="A17" i="17"/>
  <c r="A103" i="17"/>
  <c r="B24" i="17"/>
  <c r="A82" i="17"/>
  <c r="B27" i="17"/>
  <c r="C12" i="17"/>
  <c r="B15" i="17"/>
  <c r="A102" i="17"/>
  <c r="E8" i="17"/>
  <c r="B108" i="17"/>
  <c r="A43" i="17"/>
  <c r="B28" i="17"/>
  <c r="C17" i="17"/>
  <c r="B72" i="17"/>
  <c r="B82" i="17"/>
  <c r="C71" i="17"/>
  <c r="C75" i="17"/>
  <c r="C77" i="17"/>
  <c r="A21" i="17"/>
  <c r="A23" i="17"/>
  <c r="C123" i="17"/>
  <c r="A26" i="17"/>
  <c r="C111" i="17"/>
  <c r="A92" i="17"/>
  <c r="C32" i="17"/>
  <c r="A78" i="17"/>
  <c r="A111" i="17"/>
  <c r="D18" i="17" l="1"/>
  <c r="F18" i="17" s="1"/>
  <c r="D24" i="17"/>
  <c r="F24" i="17" s="1"/>
  <c r="D15" i="17"/>
  <c r="F15" i="17" s="1"/>
  <c r="D28" i="17"/>
  <c r="F28" i="17" s="1"/>
  <c r="D108" i="17"/>
  <c r="D33" i="17"/>
  <c r="F33" i="17" s="1"/>
  <c r="D25" i="17"/>
  <c r="F25" i="17" s="1"/>
  <c r="D32" i="17"/>
  <c r="F32" i="17" s="1"/>
  <c r="D27" i="17"/>
  <c r="F27" i="17" s="1"/>
  <c r="D21" i="17"/>
  <c r="F21" i="17" s="1"/>
  <c r="D12" i="17"/>
  <c r="F12" i="17" s="1"/>
  <c r="D122" i="17"/>
  <c r="D17" i="17"/>
  <c r="F17" i="17" s="1"/>
  <c r="D11" i="17"/>
  <c r="F11" i="17" s="1"/>
  <c r="D23" i="17"/>
  <c r="F23" i="17" s="1"/>
  <c r="B29" i="17"/>
  <c r="B4" i="17"/>
  <c r="B101" i="17"/>
  <c r="B110" i="17"/>
  <c r="B14" i="17"/>
  <c r="B123" i="17"/>
  <c r="B114" i="17"/>
  <c r="B106" i="17"/>
  <c r="B111" i="17"/>
  <c r="B107" i="17"/>
  <c r="B100" i="17"/>
  <c r="O8" i="38" l="1"/>
  <c r="D22" i="19"/>
  <c r="D21" i="19" s="1"/>
  <c r="O8" i="37"/>
  <c r="O8" i="34"/>
  <c r="D100" i="17"/>
  <c r="D101" i="17"/>
  <c r="D110" i="17"/>
  <c r="D123" i="17"/>
  <c r="D14" i="17"/>
  <c r="F14" i="17" s="1"/>
  <c r="D106" i="17"/>
  <c r="D29" i="17"/>
  <c r="F29" i="17" s="1"/>
  <c r="D111" i="17"/>
  <c r="D107" i="17"/>
  <c r="D114" i="17"/>
  <c r="O8" i="27"/>
  <c r="O8" i="28"/>
  <c r="O8" i="16"/>
  <c r="I9" i="17"/>
  <c r="G11" i="17" s="1"/>
  <c r="B30" i="17"/>
  <c r="B115" i="17"/>
  <c r="B120" i="17"/>
  <c r="B10" i="17"/>
  <c r="B116" i="17"/>
  <c r="B124" i="17"/>
  <c r="B105" i="17"/>
  <c r="B20" i="17"/>
  <c r="B22" i="17"/>
  <c r="B121" i="17"/>
  <c r="B31" i="17"/>
  <c r="B103" i="17"/>
  <c r="B16" i="17"/>
  <c r="B104" i="17"/>
  <c r="B102" i="17"/>
  <c r="B13" i="17"/>
  <c r="A39" i="17"/>
  <c r="B109" i="17"/>
  <c r="B9" i="17"/>
  <c r="B26" i="17"/>
  <c r="B8" i="17"/>
  <c r="B19" i="17"/>
  <c r="B119" i="17"/>
  <c r="D157" i="19" l="1"/>
  <c r="O15" i="16" s="1"/>
  <c r="D153" i="19"/>
  <c r="E536" i="19"/>
  <c r="O11" i="38" s="1"/>
  <c r="E537" i="19"/>
  <c r="E480" i="19"/>
  <c r="E481" i="19"/>
  <c r="E428" i="19"/>
  <c r="E427" i="19"/>
  <c r="E369" i="19"/>
  <c r="E370" i="19"/>
  <c r="E317" i="19"/>
  <c r="O14" i="16"/>
  <c r="O13" i="16"/>
  <c r="O12" i="16"/>
  <c r="G156" i="19"/>
  <c r="G155" i="19"/>
  <c r="G154" i="19"/>
  <c r="E316" i="19"/>
  <c r="G157" i="19"/>
  <c r="D20" i="17"/>
  <c r="F20" i="17" s="1"/>
  <c r="D13" i="17"/>
  <c r="F13" i="17" s="1"/>
  <c r="D115" i="17"/>
  <c r="D9" i="17"/>
  <c r="F9" i="17" s="1"/>
  <c r="D10" i="17"/>
  <c r="F10" i="17" s="1"/>
  <c r="D26" i="17"/>
  <c r="F26" i="17" s="1"/>
  <c r="D22" i="17"/>
  <c r="F22" i="17" s="1"/>
  <c r="D31" i="17"/>
  <c r="F31" i="17" s="1"/>
  <c r="D103" i="17"/>
  <c r="D104" i="17"/>
  <c r="D124" i="17"/>
  <c r="D116" i="17"/>
  <c r="D119" i="17"/>
  <c r="D30" i="17"/>
  <c r="F30" i="17" s="1"/>
  <c r="D109" i="17"/>
  <c r="D102" i="17"/>
  <c r="D16" i="17"/>
  <c r="F16" i="17" s="1"/>
  <c r="D8" i="17"/>
  <c r="F8" i="17" s="1"/>
  <c r="D105" i="17"/>
  <c r="D120" i="17"/>
  <c r="D19" i="17"/>
  <c r="F19" i="17" s="1"/>
  <c r="D121" i="17"/>
  <c r="G153" i="19"/>
  <c r="A100" i="17"/>
  <c r="J536" i="19" l="1"/>
  <c r="J480" i="19"/>
  <c r="O11" i="34"/>
  <c r="J427" i="19"/>
  <c r="O11" i="37"/>
  <c r="J369" i="19"/>
  <c r="O11" i="28"/>
  <c r="J316" i="19"/>
  <c r="O11" i="27"/>
  <c r="E111" i="19"/>
  <c r="E115" i="19"/>
  <c r="H112" i="19"/>
  <c r="H115" i="19"/>
  <c r="E114" i="19"/>
  <c r="E112" i="19"/>
  <c r="G115" i="19"/>
  <c r="G112" i="19"/>
  <c r="H111" i="19"/>
  <c r="E113" i="19"/>
  <c r="G114" i="19"/>
  <c r="H110" i="19"/>
  <c r="H114" i="19"/>
  <c r="E110" i="19"/>
  <c r="G111" i="19"/>
  <c r="H113" i="19"/>
  <c r="G113" i="19"/>
  <c r="O11" i="16"/>
  <c r="G110" i="19"/>
  <c r="A119" i="17"/>
  <c r="G116" i="19" l="1"/>
  <c r="H124" i="19"/>
  <c r="E121" i="19"/>
  <c r="E123" i="19"/>
  <c r="H123" i="19"/>
  <c r="G121" i="19"/>
  <c r="H122" i="19"/>
  <c r="G122" i="19"/>
  <c r="H120" i="19"/>
  <c r="E124" i="19"/>
  <c r="G123" i="19"/>
  <c r="E120" i="19"/>
  <c r="G124" i="19"/>
  <c r="E122" i="19"/>
  <c r="H121" i="19"/>
  <c r="H116" i="19"/>
  <c r="G120" i="19"/>
  <c r="C153" i="17"/>
  <c r="G125" i="19" l="1"/>
  <c r="H125" i="19"/>
  <c r="E153" i="17"/>
  <c r="A50" i="17"/>
  <c r="E540" i="19" l="1"/>
  <c r="O12" i="38" s="1"/>
  <c r="E541" i="19"/>
  <c r="E484" i="19"/>
  <c r="E485" i="19"/>
  <c r="E431" i="19"/>
  <c r="E432" i="19"/>
  <c r="E373" i="19"/>
  <c r="E374" i="19"/>
  <c r="E321" i="19"/>
  <c r="G164" i="19"/>
  <c r="G163" i="19"/>
  <c r="G162" i="19"/>
  <c r="E193" i="19"/>
  <c r="D163" i="19"/>
  <c r="E320" i="19"/>
  <c r="D162" i="19"/>
  <c r="D164" i="19"/>
  <c r="A56" i="17"/>
  <c r="O12" i="37" l="1"/>
  <c r="E544" i="19"/>
  <c r="O12" i="27"/>
  <c r="O12" i="34"/>
  <c r="E488" i="19"/>
  <c r="O12" i="28"/>
  <c r="E435" i="19"/>
  <c r="D170" i="19"/>
  <c r="E377" i="19"/>
  <c r="D168" i="19"/>
  <c r="D169" i="19"/>
  <c r="E324" i="19"/>
  <c r="A68" i="17"/>
  <c r="E82" i="19" l="1"/>
  <c r="F82" i="19" s="1"/>
  <c r="G64" i="19"/>
  <c r="H64" i="19" s="1"/>
  <c r="E69" i="19"/>
  <c r="F69" i="19" s="1"/>
  <c r="E67" i="19"/>
  <c r="F67" i="19" s="1"/>
  <c r="G69" i="19"/>
  <c r="H69" i="19" s="1"/>
  <c r="E68" i="19"/>
  <c r="F68" i="19" s="1"/>
  <c r="G68" i="19"/>
  <c r="H68" i="19" s="1"/>
  <c r="G83" i="19"/>
  <c r="H83" i="19" s="1"/>
  <c r="G67" i="19"/>
  <c r="H67" i="19" s="1"/>
  <c r="E83" i="19"/>
  <c r="F83" i="19" s="1"/>
  <c r="E66" i="19"/>
  <c r="F66" i="19" s="1"/>
  <c r="E65" i="19"/>
  <c r="F65" i="19" s="1"/>
  <c r="G82" i="19"/>
  <c r="H82" i="19" s="1"/>
  <c r="G66" i="19"/>
  <c r="H66" i="19" s="1"/>
  <c r="E64" i="19"/>
  <c r="F64" i="19" s="1"/>
  <c r="G65" i="19"/>
  <c r="H65" i="19" s="1"/>
  <c r="E63" i="19"/>
  <c r="F63" i="19" s="1"/>
  <c r="E81" i="19"/>
  <c r="F81" i="19" s="1"/>
  <c r="G81" i="19"/>
  <c r="H81" i="19" s="1"/>
  <c r="G63" i="19"/>
  <c r="H63" i="19" s="1"/>
  <c r="C37" i="17"/>
  <c r="N10" i="17" l="1"/>
  <c r="F72" i="19"/>
  <c r="H70" i="19"/>
  <c r="H84" i="19"/>
  <c r="F86" i="19"/>
  <c r="C151" i="19"/>
  <c r="P9" i="38" s="1"/>
  <c r="P9" i="34" l="1"/>
  <c r="P9" i="37"/>
  <c r="C158" i="19"/>
  <c r="A139" i="19" s="1"/>
  <c r="P9" i="28"/>
  <c r="P9" i="27"/>
  <c r="P9" i="16"/>
  <c r="H151" i="19"/>
  <c r="I85" i="19"/>
  <c r="C154" i="17"/>
  <c r="A138" i="19" l="1"/>
  <c r="F104" i="19"/>
  <c r="F105" i="19"/>
  <c r="A172" i="19"/>
  <c r="F103" i="19"/>
  <c r="L158" i="19"/>
  <c r="B16" i="33" s="1"/>
  <c r="C184" i="19"/>
  <c r="P19" i="16"/>
  <c r="E154" i="17"/>
  <c r="C152" i="17"/>
  <c r="E184" i="19" l="1"/>
  <c r="H184" i="19" s="1"/>
  <c r="G194" i="19" s="1"/>
  <c r="F193" i="19"/>
  <c r="E152" i="17"/>
  <c r="C155" i="17"/>
  <c r="E194" i="19" l="1"/>
  <c r="E196" i="19" s="1"/>
  <c r="C156" i="17"/>
  <c r="D193" i="19"/>
  <c r="E155" i="17"/>
  <c r="A114" i="17"/>
  <c r="G193" i="19" l="1"/>
  <c r="H193" i="19" s="1"/>
  <c r="I193" i="19"/>
  <c r="H105" i="19"/>
  <c r="G104" i="19"/>
  <c r="G105" i="19"/>
  <c r="E104" i="19"/>
  <c r="E103" i="19"/>
  <c r="H104" i="19"/>
  <c r="E105" i="19"/>
  <c r="H103" i="19"/>
  <c r="E156" i="17"/>
  <c r="D196" i="19"/>
  <c r="G103" i="19"/>
  <c r="B7" i="17"/>
  <c r="H11" i="17" l="1"/>
  <c r="G106" i="19"/>
  <c r="G133" i="19" s="1"/>
  <c r="G135" i="19" s="1"/>
  <c r="G137" i="19" s="1"/>
  <c r="G138" i="19" s="1"/>
  <c r="H106" i="19"/>
  <c r="F32" i="19"/>
  <c r="D7" i="17"/>
  <c r="F7" i="17" s="1"/>
  <c r="A7" i="17"/>
  <c r="F14" i="38" l="1"/>
  <c r="I14" i="38" s="1"/>
  <c r="F13" i="38"/>
  <c r="I13" i="38" s="1"/>
  <c r="F12" i="38"/>
  <c r="I12" i="38" s="1"/>
  <c r="F11" i="38"/>
  <c r="I11" i="38" s="1"/>
  <c r="F10" i="38"/>
  <c r="I10" i="38" s="1"/>
  <c r="H512" i="19"/>
  <c r="H511" i="19"/>
  <c r="H513" i="19"/>
  <c r="H510" i="19"/>
  <c r="D512" i="19"/>
  <c r="L512" i="19" s="1"/>
  <c r="D513" i="19"/>
  <c r="L513" i="19" s="1"/>
  <c r="D511" i="19"/>
  <c r="L511" i="19" s="1"/>
  <c r="G512" i="19"/>
  <c r="G513" i="19"/>
  <c r="G511" i="19"/>
  <c r="G510" i="19"/>
  <c r="D516" i="19"/>
  <c r="L516" i="19" s="1"/>
  <c r="D510" i="19"/>
  <c r="L510" i="19" s="1"/>
  <c r="H516" i="19"/>
  <c r="H517" i="19" s="1"/>
  <c r="E523" i="19" s="1"/>
  <c r="G516" i="19"/>
  <c r="G517" i="19" s="1"/>
  <c r="F10" i="37"/>
  <c r="I10" i="37" s="1"/>
  <c r="J5" i="19"/>
  <c r="L137" i="19"/>
  <c r="B15" i="33" s="1"/>
  <c r="H457" i="19"/>
  <c r="H458" i="19" s="1"/>
  <c r="E466" i="19" s="1"/>
  <c r="D457" i="19"/>
  <c r="L457" i="19" s="1"/>
  <c r="D460" i="19"/>
  <c r="L460" i="19" s="1"/>
  <c r="G457" i="19"/>
  <c r="G460" i="19"/>
  <c r="G461" i="19" s="1"/>
  <c r="D467" i="19" s="1"/>
  <c r="G467" i="19" s="1"/>
  <c r="H460" i="19"/>
  <c r="H461" i="19" s="1"/>
  <c r="E467" i="19" s="1"/>
  <c r="F10" i="34"/>
  <c r="I10" i="34" s="1"/>
  <c r="G404" i="19"/>
  <c r="D407" i="19"/>
  <c r="L407" i="19" s="1"/>
  <c r="H404" i="19"/>
  <c r="H405" i="19" s="1"/>
  <c r="E413" i="19" s="1"/>
  <c r="D404" i="19"/>
  <c r="L404" i="19" s="1"/>
  <c r="G407" i="19"/>
  <c r="G408" i="19" s="1"/>
  <c r="D414" i="19" s="1"/>
  <c r="G414" i="19" s="1"/>
  <c r="H407" i="19"/>
  <c r="H408" i="19" s="1"/>
  <c r="E414" i="19" s="1"/>
  <c r="L135" i="19"/>
  <c r="B24" i="33" s="1"/>
  <c r="E547" i="19"/>
  <c r="H30" i="19"/>
  <c r="H28" i="19"/>
  <c r="H26" i="19"/>
  <c r="G26" i="19"/>
  <c r="F18" i="16"/>
  <c r="I18" i="16" s="1"/>
  <c r="H25" i="19"/>
  <c r="H29" i="19"/>
  <c r="D35" i="19"/>
  <c r="D346" i="19"/>
  <c r="L346" i="19" s="1"/>
  <c r="D30" i="19"/>
  <c r="G30" i="19"/>
  <c r="G29" i="19"/>
  <c r="D27" i="19"/>
  <c r="D29" i="19"/>
  <c r="H24" i="19"/>
  <c r="D28" i="19"/>
  <c r="G31" i="19"/>
  <c r="H36" i="19"/>
  <c r="G28" i="19"/>
  <c r="F15" i="16"/>
  <c r="I15" i="16" s="1"/>
  <c r="H31" i="19"/>
  <c r="H27" i="19"/>
  <c r="H35" i="19"/>
  <c r="G36" i="19"/>
  <c r="D36" i="19"/>
  <c r="D25" i="19"/>
  <c r="D23" i="19"/>
  <c r="D31" i="19"/>
  <c r="F14" i="16"/>
  <c r="I14" i="16" s="1"/>
  <c r="F11" i="16"/>
  <c r="I11" i="16" s="1"/>
  <c r="D296" i="19"/>
  <c r="L296" i="19" s="1"/>
  <c r="G24" i="19"/>
  <c r="H349" i="19"/>
  <c r="H350" i="19" s="1"/>
  <c r="E356" i="19" s="1"/>
  <c r="G346" i="19"/>
  <c r="F13" i="16"/>
  <c r="I13" i="16" s="1"/>
  <c r="G349" i="19"/>
  <c r="G350" i="19" s="1"/>
  <c r="D26" i="19"/>
  <c r="H296" i="19"/>
  <c r="H297" i="19" s="1"/>
  <c r="E303" i="19" s="1"/>
  <c r="D349" i="19"/>
  <c r="L349" i="19" s="1"/>
  <c r="F12" i="16"/>
  <c r="I12" i="16" s="1"/>
  <c r="H293" i="19"/>
  <c r="H294" i="19" s="1"/>
  <c r="E302" i="19" s="1"/>
  <c r="D293" i="19"/>
  <c r="L293" i="19" s="1"/>
  <c r="G293" i="19"/>
  <c r="G27" i="19"/>
  <c r="F16" i="16"/>
  <c r="I16" i="16" s="1"/>
  <c r="G25" i="19"/>
  <c r="F10" i="16"/>
  <c r="I10" i="16" s="1"/>
  <c r="D24" i="19"/>
  <c r="G296" i="19"/>
  <c r="G297" i="19" s="1"/>
  <c r="D303" i="19" s="1"/>
  <c r="G303" i="19" s="1"/>
  <c r="F17" i="16"/>
  <c r="I17" i="16" s="1"/>
  <c r="H346" i="19"/>
  <c r="H347" i="19" s="1"/>
  <c r="E355" i="19" s="1"/>
  <c r="G35" i="19"/>
  <c r="H23" i="19"/>
  <c r="F10" i="28"/>
  <c r="I10" i="28" s="1"/>
  <c r="F10" i="27"/>
  <c r="I10" i="27" s="1"/>
  <c r="L1" i="17"/>
  <c r="M11" i="17" s="1"/>
  <c r="N11" i="17" s="1"/>
  <c r="G23" i="19"/>
  <c r="D523" i="19" l="1"/>
  <c r="G523" i="19" s="1"/>
  <c r="H514" i="19"/>
  <c r="E522" i="19" s="1"/>
  <c r="H547" i="19"/>
  <c r="E491" i="19"/>
  <c r="H491" i="19" s="1"/>
  <c r="E468" i="19"/>
  <c r="H467" i="19" s="1"/>
  <c r="E415" i="19"/>
  <c r="H414" i="19" s="1"/>
  <c r="E380" i="19"/>
  <c r="H380" i="19" s="1"/>
  <c r="E438" i="19"/>
  <c r="E327" i="19"/>
  <c r="H327" i="19" s="1"/>
  <c r="O29" i="27" s="1"/>
  <c r="O29" i="16"/>
  <c r="E304" i="19"/>
  <c r="H303" i="19" s="1"/>
  <c r="G37" i="19"/>
  <c r="E357" i="19"/>
  <c r="H356" i="19" s="1"/>
  <c r="M4" i="17"/>
  <c r="N4" i="17" s="1"/>
  <c r="M6" i="17"/>
  <c r="N6" i="17" s="1"/>
  <c r="M5" i="17"/>
  <c r="N5" i="17" s="1"/>
  <c r="M7" i="17"/>
  <c r="N7" i="17" s="1"/>
  <c r="M8" i="17"/>
  <c r="N8" i="17" s="1"/>
  <c r="M3" i="17"/>
  <c r="N3" i="17" s="1"/>
  <c r="H32" i="19"/>
  <c r="H37" i="19"/>
  <c r="E51" i="19" s="1"/>
  <c r="H34" i="33" s="1"/>
  <c r="H38" i="33" s="1"/>
  <c r="I547" i="19" l="1"/>
  <c r="O29" i="38"/>
  <c r="O29" i="37"/>
  <c r="E524" i="19"/>
  <c r="H523" i="19" s="1"/>
  <c r="F87" i="19"/>
  <c r="H86" i="19" s="1"/>
  <c r="J38" i="19"/>
  <c r="I491" i="19"/>
  <c r="O29" i="28"/>
  <c r="H438" i="19"/>
  <c r="D51" i="19"/>
  <c r="G34" i="33" s="1"/>
  <c r="I34" i="33" s="1"/>
  <c r="O2" i="17"/>
  <c r="P2" i="17" s="1"/>
  <c r="E50" i="19"/>
  <c r="F35" i="33" s="1"/>
  <c r="E49" i="19"/>
  <c r="F33" i="33" s="1"/>
  <c r="O6" i="17"/>
  <c r="P6" i="17" s="1"/>
  <c r="N9" i="17"/>
  <c r="O5" i="17"/>
  <c r="P5" i="17" s="1"/>
  <c r="I380" i="19"/>
  <c r="O3" i="17"/>
  <c r="P3" i="17" s="1"/>
  <c r="O8" i="17"/>
  <c r="P8" i="17" s="1"/>
  <c r="O4" i="17"/>
  <c r="P4" i="17" s="1"/>
  <c r="I327" i="19"/>
  <c r="O7" i="17"/>
  <c r="P7" i="17" s="1"/>
  <c r="F38" i="33" l="1"/>
  <c r="G92" i="19"/>
  <c r="I438" i="19"/>
  <c r="O29" i="34"/>
  <c r="E52" i="19"/>
  <c r="H51" i="19" s="1"/>
  <c r="P9" i="17"/>
  <c r="N12" i="17" s="1"/>
  <c r="P12" i="17" l="1"/>
  <c r="I19" i="38" s="1"/>
  <c r="D356" i="19"/>
  <c r="G32" i="19" l="1"/>
  <c r="I19" i="16" s="1"/>
  <c r="O21" i="16" s="1"/>
  <c r="G514" i="19"/>
  <c r="D522" i="19" s="1"/>
  <c r="G522" i="19" s="1"/>
  <c r="I514" i="19"/>
  <c r="J20" i="19"/>
  <c r="I347" i="19"/>
  <c r="I458" i="19"/>
  <c r="I405" i="19"/>
  <c r="J32" i="19"/>
  <c r="B22" i="29"/>
  <c r="D7" i="19" s="1"/>
  <c r="K3" i="38" s="1"/>
  <c r="G14" i="17"/>
  <c r="G458" i="19"/>
  <c r="D466" i="19" s="1"/>
  <c r="D468" i="19" s="1"/>
  <c r="H466" i="19" s="1"/>
  <c r="H468" i="19" s="1"/>
  <c r="H470" i="19" s="1"/>
  <c r="G294" i="19"/>
  <c r="D302" i="19" s="1"/>
  <c r="D304" i="19" s="1"/>
  <c r="H302" i="19" s="1"/>
  <c r="H304" i="19" s="1"/>
  <c r="H306" i="19" s="1"/>
  <c r="K24" i="27" s="1"/>
  <c r="I32" i="19"/>
  <c r="G347" i="19"/>
  <c r="D355" i="19" s="1"/>
  <c r="G355" i="19" s="1"/>
  <c r="G405" i="19"/>
  <c r="D413" i="19" s="1"/>
  <c r="G413" i="19" s="1"/>
  <c r="G415" i="19" s="1"/>
  <c r="G417" i="19" s="1"/>
  <c r="K22" i="34" s="1"/>
  <c r="I294" i="19"/>
  <c r="H17" i="29"/>
  <c r="G356" i="19"/>
  <c r="F170" i="19" l="1"/>
  <c r="C576" i="19"/>
  <c r="F168" i="19"/>
  <c r="G168" i="19" s="1"/>
  <c r="H168" i="19" s="1"/>
  <c r="F169" i="19"/>
  <c r="G169" i="19" s="1"/>
  <c r="H169" i="19" s="1"/>
  <c r="G170" i="19"/>
  <c r="H170" i="19" s="1"/>
  <c r="O21" i="38"/>
  <c r="C596" i="19" s="1"/>
  <c r="K24" i="37"/>
  <c r="G524" i="19"/>
  <c r="G526" i="19" s="1"/>
  <c r="K22" i="38" s="1"/>
  <c r="D524" i="19"/>
  <c r="I19" i="28"/>
  <c r="O21" i="28" s="1"/>
  <c r="C584" i="19" s="1"/>
  <c r="I19" i="34"/>
  <c r="O21" i="34" s="1"/>
  <c r="I19" i="27"/>
  <c r="O21" i="27" s="1"/>
  <c r="D357" i="19"/>
  <c r="H355" i="19" s="1"/>
  <c r="H357" i="19" s="1"/>
  <c r="H359" i="19" s="1"/>
  <c r="K24" i="28" s="1"/>
  <c r="I19" i="37"/>
  <c r="O21" i="37" s="1"/>
  <c r="G357" i="19"/>
  <c r="G359" i="19" s="1"/>
  <c r="K22" i="28" s="1"/>
  <c r="D415" i="19"/>
  <c r="H413" i="19" s="1"/>
  <c r="H415" i="19" s="1"/>
  <c r="H417" i="19" s="1"/>
  <c r="K24" i="34" s="1"/>
  <c r="B29" i="29"/>
  <c r="D47" i="16" s="1"/>
  <c r="G466" i="19"/>
  <c r="G468" i="19" s="1"/>
  <c r="G470" i="19" s="1"/>
  <c r="G302" i="19"/>
  <c r="G304" i="19" s="1"/>
  <c r="G306" i="19" s="1"/>
  <c r="K22" i="27" s="1"/>
  <c r="K3" i="34"/>
  <c r="K3" i="37"/>
  <c r="K3" i="28"/>
  <c r="A2" i="20"/>
  <c r="K3" i="27"/>
  <c r="A2" i="32"/>
  <c r="K3" i="16"/>
  <c r="D49" i="19"/>
  <c r="E33" i="33" s="1"/>
  <c r="F73" i="19"/>
  <c r="H72" i="19" s="1"/>
  <c r="F130" i="19"/>
  <c r="D50" i="19"/>
  <c r="E35" i="33" s="1"/>
  <c r="I35" i="33" s="1"/>
  <c r="G544" i="19" l="1"/>
  <c r="H544" i="19" s="1"/>
  <c r="G488" i="19"/>
  <c r="H488" i="19" s="1"/>
  <c r="C592" i="19"/>
  <c r="G435" i="19"/>
  <c r="H435" i="19" s="1"/>
  <c r="C588" i="19"/>
  <c r="G324" i="19"/>
  <c r="C580" i="19"/>
  <c r="D47" i="38"/>
  <c r="C27" i="20"/>
  <c r="K22" i="37"/>
  <c r="O22" i="37" s="1"/>
  <c r="O23" i="37" s="1"/>
  <c r="D592" i="19" s="1"/>
  <c r="O22" i="38"/>
  <c r="O23" i="38" s="1"/>
  <c r="D596" i="19" s="1"/>
  <c r="H522" i="19"/>
  <c r="H524" i="19" s="1"/>
  <c r="H526" i="19" s="1"/>
  <c r="K24" i="38" s="1"/>
  <c r="G377" i="19"/>
  <c r="H377" i="19" s="1"/>
  <c r="H130" i="19"/>
  <c r="H132" i="19" s="1"/>
  <c r="H133" i="19" s="1"/>
  <c r="D47" i="34"/>
  <c r="D47" i="37"/>
  <c r="D47" i="27"/>
  <c r="D47" i="28"/>
  <c r="C29" i="32"/>
  <c r="O22" i="34"/>
  <c r="O23" i="34" s="1"/>
  <c r="D588" i="19" s="1"/>
  <c r="O22" i="28"/>
  <c r="O23" i="28" s="1"/>
  <c r="D584" i="19" s="1"/>
  <c r="O22" i="27"/>
  <c r="O23" i="27" s="1"/>
  <c r="D5" i="19"/>
  <c r="I33" i="33"/>
  <c r="G55" i="33"/>
  <c r="H55" i="33" s="1"/>
  <c r="G91" i="19"/>
  <c r="G51" i="19"/>
  <c r="G90" i="19"/>
  <c r="D52" i="19"/>
  <c r="H50" i="19" s="1"/>
  <c r="H52" i="19" s="1"/>
  <c r="G50" i="19"/>
  <c r="D580" i="19" l="1"/>
  <c r="D582" i="19" s="1"/>
  <c r="O25" i="34"/>
  <c r="O25" i="37"/>
  <c r="O24" i="38"/>
  <c r="O25" i="38"/>
  <c r="H135" i="19"/>
  <c r="H137" i="19" s="1"/>
  <c r="H139" i="19" s="1"/>
  <c r="O24" i="34"/>
  <c r="O25" i="28"/>
  <c r="O24" i="28"/>
  <c r="O25" i="27"/>
  <c r="O24" i="27"/>
  <c r="O24" i="37"/>
  <c r="E55" i="33"/>
  <c r="F55" i="33" s="1"/>
  <c r="H55" i="19"/>
  <c r="L51" i="19"/>
  <c r="B23" i="33" s="1"/>
  <c r="G93" i="19"/>
  <c r="G52" i="19"/>
  <c r="H224" i="19" s="1"/>
  <c r="D525" i="19" l="1"/>
  <c r="L55" i="19"/>
  <c r="B13" i="33" s="1"/>
  <c r="G486" i="19"/>
  <c r="H486" i="19" s="1"/>
  <c r="G429" i="19"/>
  <c r="H429" i="19" s="1"/>
  <c r="G542" i="19"/>
  <c r="H542" i="19" s="1"/>
  <c r="G538" i="19"/>
  <c r="H538" i="19" s="1"/>
  <c r="G433" i="19"/>
  <c r="H433" i="19" s="1"/>
  <c r="G482" i="19"/>
  <c r="H482" i="19" s="1"/>
  <c r="D469" i="19"/>
  <c r="G371" i="19"/>
  <c r="H371" i="19" s="1"/>
  <c r="L136" i="19"/>
  <c r="B25" i="33" s="1"/>
  <c r="E546" i="19"/>
  <c r="G318" i="19"/>
  <c r="H318" i="19" s="1"/>
  <c r="G375" i="19"/>
  <c r="H375" i="19" s="1"/>
  <c r="G322" i="19"/>
  <c r="D416" i="19"/>
  <c r="D358" i="19"/>
  <c r="D305" i="19"/>
  <c r="K24" i="16"/>
  <c r="L52" i="19"/>
  <c r="B22" i="33" s="1"/>
  <c r="G54" i="19"/>
  <c r="L54" i="19" s="1"/>
  <c r="H489" i="19" l="1"/>
  <c r="K26" i="37" s="1"/>
  <c r="O26" i="37" s="1"/>
  <c r="H436" i="19"/>
  <c r="K26" i="34" s="1"/>
  <c r="O26" i="34" s="1"/>
  <c r="H545" i="19"/>
  <c r="K26" i="38" s="1"/>
  <c r="O26" i="38" s="1"/>
  <c r="H378" i="19"/>
  <c r="K26" i="28" s="1"/>
  <c r="O26" i="28" s="1"/>
  <c r="H322" i="19"/>
  <c r="H325" i="19" s="1"/>
  <c r="K26" i="27" s="1"/>
  <c r="O26" i="27" s="1"/>
  <c r="D586" i="19" s="1"/>
  <c r="H546" i="19"/>
  <c r="E490" i="19"/>
  <c r="H490" i="19" s="1"/>
  <c r="E379" i="19"/>
  <c r="H379" i="19" s="1"/>
  <c r="O27" i="28" s="1"/>
  <c r="E326" i="19"/>
  <c r="H326" i="19" s="1"/>
  <c r="O27" i="27" s="1"/>
  <c r="E437" i="19"/>
  <c r="H437" i="19" s="1"/>
  <c r="O27" i="34" s="1"/>
  <c r="O27" i="16"/>
  <c r="B12" i="33"/>
  <c r="K22" i="16"/>
  <c r="O22" i="16" s="1"/>
  <c r="A54" i="19" s="1"/>
  <c r="D598" i="19" l="1"/>
  <c r="D594" i="19"/>
  <c r="D590" i="19"/>
  <c r="O23" i="16"/>
  <c r="D576" i="19" s="1"/>
  <c r="D578" i="19" s="1"/>
  <c r="O28" i="34"/>
  <c r="E588" i="19" s="1"/>
  <c r="O28" i="28"/>
  <c r="E584" i="19" s="1"/>
  <c r="O28" i="27"/>
  <c r="E580" i="19" s="1"/>
  <c r="E582" i="19" s="1"/>
  <c r="I546" i="19"/>
  <c r="O27" i="38"/>
  <c r="O28" i="38" s="1"/>
  <c r="E596" i="19" s="1"/>
  <c r="O27" i="37"/>
  <c r="O28" i="37" s="1"/>
  <c r="E592" i="19" s="1"/>
  <c r="I490" i="19"/>
  <c r="I379" i="19"/>
  <c r="I326" i="19"/>
  <c r="I437" i="19"/>
  <c r="B56" i="19" l="1"/>
  <c r="C187" i="19"/>
  <c r="B97" i="19"/>
  <c r="B212" i="19"/>
  <c r="D37" i="33"/>
  <c r="G37" i="33" s="1"/>
  <c r="D40" i="33"/>
  <c r="G40" i="33" s="1"/>
  <c r="O24" i="16"/>
  <c r="F144" i="19"/>
  <c r="E144" i="19" s="1"/>
  <c r="G144" i="19" s="1"/>
  <c r="B140" i="19"/>
  <c r="B268" i="19"/>
  <c r="B174" i="19"/>
  <c r="B239" i="19"/>
  <c r="A55" i="19" l="1"/>
  <c r="E37" i="33"/>
  <c r="I37" i="33" s="1"/>
  <c r="E40" i="33"/>
  <c r="I40" i="33" s="1"/>
  <c r="E145" i="19"/>
  <c r="F145" i="19"/>
  <c r="F147" i="19"/>
  <c r="F146" i="19" s="1"/>
  <c r="G145" i="19" l="1"/>
  <c r="G85" i="19" l="1"/>
  <c r="H85" i="19" s="1"/>
  <c r="G71" i="19"/>
  <c r="H71" i="19" s="1"/>
  <c r="H74" i="19" s="1"/>
  <c r="F90" i="19" l="1"/>
  <c r="H90" i="19" s="1"/>
  <c r="H88" i="19"/>
  <c r="F92" i="19" s="1"/>
  <c r="H92" i="19" s="1"/>
  <c r="F91" i="19" l="1"/>
  <c r="H91" i="19" s="1"/>
  <c r="H93" i="19" s="1"/>
  <c r="H94" i="19" s="1"/>
  <c r="F156" i="19"/>
  <c r="H156" i="19" s="1"/>
  <c r="F157" i="19"/>
  <c r="H157" i="19" s="1"/>
  <c r="F154" i="19"/>
  <c r="H154" i="19" s="1"/>
  <c r="F155" i="19"/>
  <c r="H155" i="19" s="1"/>
  <c r="L95" i="19" l="1"/>
  <c r="H96" i="19"/>
  <c r="L96" i="19" s="1"/>
  <c r="K25" i="16" l="1"/>
  <c r="O25" i="16" s="1"/>
  <c r="A96" i="19" s="1"/>
  <c r="B14" i="33"/>
  <c r="E147" i="19" l="1"/>
  <c r="F164" i="19"/>
  <c r="H164" i="19" s="1"/>
  <c r="F162" i="19" l="1"/>
  <c r="H162" i="19" s="1"/>
  <c r="F153" i="19"/>
  <c r="H153" i="19" s="1"/>
  <c r="G147" i="19"/>
  <c r="F163" i="19"/>
  <c r="H163" i="19" s="1"/>
  <c r="E146" i="19"/>
  <c r="G146" i="19" s="1"/>
  <c r="H171" i="19" l="1"/>
  <c r="C172" i="19" s="1"/>
  <c r="H173" i="19" s="1"/>
  <c r="D36" i="33" s="1"/>
  <c r="E36" i="33" s="1"/>
  <c r="H172" i="19" l="1"/>
  <c r="K26" i="16"/>
  <c r="O26" i="16" s="1"/>
  <c r="G36" i="33"/>
  <c r="G38" i="33" s="1"/>
  <c r="G39" i="33" s="1"/>
  <c r="E38" i="33"/>
  <c r="A173" i="19" l="1"/>
  <c r="O28" i="16"/>
  <c r="I36" i="33"/>
  <c r="I38" i="33"/>
  <c r="E39" i="33"/>
  <c r="A210" i="19" l="1"/>
  <c r="E576" i="19"/>
  <c r="E578" i="19" s="1"/>
  <c r="F210" i="19"/>
  <c r="H211" i="19" s="1"/>
  <c r="E494" i="19" s="1"/>
  <c r="H494" i="19" s="1"/>
  <c r="K32" i="37" s="1"/>
  <c r="O32" i="37" s="1"/>
  <c r="C189" i="19"/>
  <c r="E189" i="19"/>
  <c r="E187" i="19"/>
  <c r="H187" i="19" s="1"/>
  <c r="H189" i="19" l="1"/>
  <c r="H190" i="19" s="1"/>
  <c r="F195" i="19" s="1"/>
  <c r="F196" i="19" s="1"/>
  <c r="E550" i="19"/>
  <c r="H550" i="19" s="1"/>
  <c r="I550" i="19" s="1"/>
  <c r="K32" i="16"/>
  <c r="O32" i="16" s="1"/>
  <c r="L211" i="19"/>
  <c r="B17" i="33" s="1"/>
  <c r="E441" i="19"/>
  <c r="H441" i="19" s="1"/>
  <c r="K32" i="34" s="1"/>
  <c r="O32" i="34" s="1"/>
  <c r="E383" i="19"/>
  <c r="H383" i="19" s="1"/>
  <c r="K32" i="28" s="1"/>
  <c r="O32" i="28" s="1"/>
  <c r="E330" i="19"/>
  <c r="H330" i="19" s="1"/>
  <c r="K32" i="27" s="1"/>
  <c r="O32" i="27" s="1"/>
  <c r="I494" i="19"/>
  <c r="A211" i="19" l="1"/>
  <c r="G195" i="19"/>
  <c r="G196" i="19" s="1"/>
  <c r="H196" i="19" s="1"/>
  <c r="L197" i="19" s="1"/>
  <c r="B27" i="33" s="1"/>
  <c r="K32" i="38"/>
  <c r="O32" i="38" s="1"/>
  <c r="I441" i="19"/>
  <c r="I383" i="19"/>
  <c r="I330" i="19"/>
  <c r="H198" i="19" l="1"/>
  <c r="E549" i="19" s="1"/>
  <c r="H549" i="19" s="1"/>
  <c r="I549" i="19" s="1"/>
  <c r="E329" i="19" l="1"/>
  <c r="H329" i="19" s="1"/>
  <c r="K31" i="27" s="1"/>
  <c r="O31" i="27" s="1"/>
  <c r="J198" i="19"/>
  <c r="E382" i="19"/>
  <c r="H382" i="19" s="1"/>
  <c r="K31" i="28" s="1"/>
  <c r="O31" i="28" s="1"/>
  <c r="L198" i="19"/>
  <c r="B19" i="33" s="1"/>
  <c r="E440" i="19"/>
  <c r="H440" i="19" s="1"/>
  <c r="K31" i="34" s="1"/>
  <c r="O31" i="34" s="1"/>
  <c r="K31" i="38"/>
  <c r="O31" i="38" s="1"/>
  <c r="K31" i="16"/>
  <c r="O31" i="16" s="1"/>
  <c r="E493" i="19"/>
  <c r="H493" i="19" s="1"/>
  <c r="K31" i="37" s="1"/>
  <c r="O31" i="37" s="1"/>
  <c r="E598" i="19" l="1"/>
  <c r="E594" i="19"/>
  <c r="E590" i="19"/>
  <c r="E586" i="19"/>
  <c r="A198" i="19"/>
  <c r="I440" i="19"/>
  <c r="O33" i="34"/>
  <c r="I329" i="19"/>
  <c r="I493" i="19"/>
  <c r="I382" i="19"/>
  <c r="O33" i="37"/>
  <c r="O33" i="38"/>
  <c r="F597" i="19" s="1"/>
  <c r="H247" i="19" l="1"/>
  <c r="H248" i="19"/>
  <c r="H246" i="19"/>
  <c r="H249" i="19"/>
  <c r="M38" i="38"/>
  <c r="M37" i="37"/>
  <c r="F593" i="19"/>
  <c r="M37" i="34"/>
  <c r="F589" i="19"/>
  <c r="M38" i="27"/>
  <c r="M38" i="37"/>
  <c r="M36" i="28"/>
  <c r="M36" i="37"/>
  <c r="M36" i="34"/>
  <c r="M38" i="34"/>
  <c r="M36" i="38"/>
  <c r="M37" i="38"/>
  <c r="F598" i="19" l="1"/>
  <c r="F596" i="19"/>
  <c r="F594" i="19"/>
  <c r="F592" i="19"/>
  <c r="F590" i="19"/>
  <c r="F588" i="19"/>
  <c r="M39" i="34"/>
  <c r="M39" i="37"/>
  <c r="M39" i="38"/>
  <c r="I43" i="38" l="1"/>
  <c r="M43" i="38" s="1"/>
  <c r="I43" i="37"/>
  <c r="M43" i="37" s="1"/>
  <c r="I43" i="34"/>
  <c r="M43" i="34" s="1"/>
  <c r="M44" i="38" l="1"/>
  <c r="M44" i="37"/>
  <c r="M44" i="34"/>
  <c r="A134" i="17"/>
  <c r="B144" i="17"/>
  <c r="B142" i="17"/>
  <c r="B143" i="17"/>
  <c r="A138" i="17"/>
  <c r="A142" i="17"/>
  <c r="B139" i="17"/>
  <c r="B141" i="17"/>
  <c r="B145" i="17"/>
  <c r="B130" i="17"/>
  <c r="A136" i="17"/>
  <c r="A146" i="17"/>
  <c r="A144" i="17"/>
  <c r="B146" i="17"/>
  <c r="B138" i="17"/>
  <c r="B137" i="17"/>
  <c r="A145" i="17"/>
  <c r="B140" i="17"/>
  <c r="A135" i="17"/>
  <c r="A143" i="17"/>
  <c r="A141" i="17"/>
  <c r="A137" i="17"/>
  <c r="A139" i="17"/>
  <c r="B136" i="17"/>
  <c r="B135" i="17"/>
  <c r="B134" i="17"/>
  <c r="A140" i="17"/>
  <c r="B147" i="17" l="1"/>
  <c r="H177" i="19" s="1"/>
  <c r="I10" i="17"/>
  <c r="A132" i="17"/>
  <c r="H179" i="19" l="1"/>
  <c r="L178" i="19"/>
  <c r="B26" i="33" s="1"/>
  <c r="K30" i="16" l="1"/>
  <c r="O30" i="16" s="1"/>
  <c r="O33" i="16" s="1"/>
  <c r="E492" i="19"/>
  <c r="E439" i="19"/>
  <c r="E328" i="19"/>
  <c r="E548" i="19"/>
  <c r="D41" i="33"/>
  <c r="E381" i="19"/>
  <c r="M37" i="16" l="1"/>
  <c r="D212" i="19"/>
  <c r="D174" i="19"/>
  <c r="D140" i="19"/>
  <c r="D239" i="19"/>
  <c r="H215" i="19"/>
  <c r="H222" i="19" s="1"/>
  <c r="M38" i="16"/>
  <c r="D97" i="19"/>
  <c r="H243" i="19"/>
  <c r="D268" i="19"/>
  <c r="D56" i="19"/>
  <c r="M36" i="16"/>
  <c r="H548" i="19"/>
  <c r="K30" i="38" s="1"/>
  <c r="O30" i="38" s="1"/>
  <c r="E41" i="33"/>
  <c r="E42" i="33" s="1"/>
  <c r="G41" i="33"/>
  <c r="G42" i="33" s="1"/>
  <c r="G58" i="33" s="1"/>
  <c r="H328" i="19"/>
  <c r="K30" i="27" s="1"/>
  <c r="O30" i="27" s="1"/>
  <c r="O33" i="27" s="1"/>
  <c r="H381" i="19"/>
  <c r="K30" i="28" s="1"/>
  <c r="O30" i="28" s="1"/>
  <c r="O33" i="28" s="1"/>
  <c r="H439" i="19"/>
  <c r="K30" i="34" s="1"/>
  <c r="O30" i="34" s="1"/>
  <c r="H492" i="19"/>
  <c r="K30" i="37" s="1"/>
  <c r="O30" i="37" s="1"/>
  <c r="A179" i="19"/>
  <c r="F576" i="19"/>
  <c r="F577" i="19" s="1"/>
  <c r="F578" i="19" s="1"/>
  <c r="I439" i="19" l="1"/>
  <c r="I492" i="19"/>
  <c r="I548" i="19"/>
  <c r="I381" i="19"/>
  <c r="M39" i="16"/>
  <c r="H223" i="19"/>
  <c r="H226" i="19" s="1"/>
  <c r="E235" i="19" s="1"/>
  <c r="H232" i="19"/>
  <c r="G223" i="19"/>
  <c r="G226" i="19" s="1"/>
  <c r="E234" i="19" s="1"/>
  <c r="I42" i="33"/>
  <c r="I328" i="19"/>
  <c r="H259" i="19"/>
  <c r="H261" i="19"/>
  <c r="H262" i="19"/>
  <c r="A263" i="19" s="1"/>
  <c r="H260" i="19"/>
  <c r="M38" i="28"/>
  <c r="M37" i="28"/>
  <c r="F585" i="19"/>
  <c r="M36" i="27"/>
  <c r="M37" i="27"/>
  <c r="F581" i="19"/>
  <c r="H58" i="33"/>
  <c r="E58" i="33"/>
  <c r="G57" i="33"/>
  <c r="I41" i="33"/>
  <c r="G56" i="33"/>
  <c r="M39" i="27" l="1"/>
  <c r="I43" i="27" s="1"/>
  <c r="M43" i="27" s="1"/>
  <c r="M44" i="27" s="1"/>
  <c r="M39" i="28"/>
  <c r="I43" i="28" s="1"/>
  <c r="M43" i="28" s="1"/>
  <c r="M44" i="28" s="1"/>
  <c r="I234" i="19"/>
  <c r="J234" i="19"/>
  <c r="H234" i="19"/>
  <c r="E237" i="19" s="1"/>
  <c r="G234" i="19"/>
  <c r="E236" i="19" s="1"/>
  <c r="F228" i="19" s="1"/>
  <c r="I235" i="19"/>
  <c r="J235" i="19"/>
  <c r="D566" i="19"/>
  <c r="D44" i="33"/>
  <c r="I43" i="16"/>
  <c r="H56" i="33"/>
  <c r="E56" i="33"/>
  <c r="F56" i="33" s="1"/>
  <c r="F586" i="19"/>
  <c r="F584" i="19"/>
  <c r="F580" i="19"/>
  <c r="F582" i="19"/>
  <c r="H57" i="33"/>
  <c r="E57" i="33"/>
  <c r="F238" i="19" l="1"/>
  <c r="J227" i="19"/>
  <c r="J237" i="19"/>
  <c r="I237" i="19"/>
  <c r="J236" i="19"/>
  <c r="I236" i="19"/>
  <c r="C569" i="19"/>
  <c r="D569" i="19" s="1"/>
  <c r="M43" i="16"/>
  <c r="E44" i="33"/>
  <c r="G44" i="33"/>
  <c r="G46" i="33" s="1"/>
  <c r="F57" i="33"/>
  <c r="F58" i="33" s="1"/>
  <c r="M44" i="16" l="1"/>
  <c r="A267" i="19"/>
  <c r="E46" i="33"/>
  <c r="I46" i="33" s="1"/>
  <c r="I44" i="33"/>
  <c r="G60" i="33"/>
  <c r="E442" i="19"/>
  <c r="H442" i="19" s="1"/>
  <c r="K34" i="34" s="1"/>
  <c r="O34" i="34" s="1"/>
  <c r="G588" i="19" s="1"/>
  <c r="G589" i="19" s="1"/>
  <c r="G590" i="19" s="1"/>
  <c r="E551" i="19"/>
  <c r="H551" i="19" s="1"/>
  <c r="K34" i="38" s="1"/>
  <c r="O34" i="38" s="1"/>
  <c r="G596" i="19" s="1"/>
  <c r="G597" i="19" s="1"/>
  <c r="G598" i="19" s="1"/>
  <c r="K34" i="16"/>
  <c r="O34" i="16" s="1"/>
  <c r="E384" i="19"/>
  <c r="H384" i="19" s="1"/>
  <c r="K34" i="28" s="1"/>
  <c r="O34" i="28" s="1"/>
  <c r="O39" i="28" s="1"/>
  <c r="L238" i="19"/>
  <c r="B18" i="33" s="1"/>
  <c r="D43" i="33"/>
  <c r="E495" i="19"/>
  <c r="H495" i="19" s="1"/>
  <c r="K34" i="37" s="1"/>
  <c r="O34" i="37" s="1"/>
  <c r="O39" i="37" s="1"/>
  <c r="E331" i="19"/>
  <c r="H331" i="19" s="1"/>
  <c r="K34" i="27" s="1"/>
  <c r="O34" i="27" s="1"/>
  <c r="G580" i="19" s="1"/>
  <c r="G581" i="19" s="1"/>
  <c r="G582" i="19" s="1"/>
  <c r="G592" i="19" l="1"/>
  <c r="G593" i="19" s="1"/>
  <c r="G594" i="19" s="1"/>
  <c r="I495" i="19"/>
  <c r="G584" i="19"/>
  <c r="G585" i="19" s="1"/>
  <c r="G586" i="19" s="1"/>
  <c r="I551" i="19"/>
  <c r="O39" i="38"/>
  <c r="O43" i="38" s="1"/>
  <c r="H596" i="19" s="1"/>
  <c r="H597" i="19" s="1"/>
  <c r="H598" i="19" s="1"/>
  <c r="O39" i="34"/>
  <c r="O43" i="34" s="1"/>
  <c r="H588" i="19" s="1"/>
  <c r="H589" i="19" s="1"/>
  <c r="H590" i="19" s="1"/>
  <c r="I442" i="19"/>
  <c r="I331" i="19"/>
  <c r="I384" i="19"/>
  <c r="E60" i="33"/>
  <c r="H60" i="33"/>
  <c r="G576" i="19"/>
  <c r="G577" i="19" s="1"/>
  <c r="G578" i="19" s="1"/>
  <c r="A238" i="19"/>
  <c r="O39" i="16"/>
  <c r="O39" i="27"/>
  <c r="N40" i="27" s="1"/>
  <c r="E43" i="33"/>
  <c r="G43" i="33"/>
  <c r="G45" i="33" s="1"/>
  <c r="G47" i="33" s="1"/>
  <c r="O43" i="28"/>
  <c r="H584" i="19" s="1"/>
  <c r="N40" i="28"/>
  <c r="N40" i="37"/>
  <c r="O43" i="37"/>
  <c r="H592" i="19" s="1"/>
  <c r="O44" i="37"/>
  <c r="N45" i="37" s="1"/>
  <c r="H593" i="19" l="1"/>
  <c r="H594" i="19" s="1"/>
  <c r="O44" i="38"/>
  <c r="M45" i="38" s="1"/>
  <c r="G560" i="19" s="1"/>
  <c r="M40" i="38"/>
  <c r="H585" i="19"/>
  <c r="H586" i="19" s="1"/>
  <c r="O44" i="34"/>
  <c r="N45" i="34" s="1"/>
  <c r="H419" i="19" s="1"/>
  <c r="N40" i="34"/>
  <c r="Q40" i="16"/>
  <c r="D567" i="19"/>
  <c r="D570" i="19" s="1"/>
  <c r="D571" i="19" s="1"/>
  <c r="O43" i="16"/>
  <c r="E274" i="19"/>
  <c r="I43" i="33"/>
  <c r="G59" i="33"/>
  <c r="E45" i="33"/>
  <c r="O43" i="27"/>
  <c r="H580" i="19" s="1"/>
  <c r="H581" i="19" s="1"/>
  <c r="H582" i="19" s="1"/>
  <c r="O44" i="28"/>
  <c r="N45" i="28" s="1"/>
  <c r="H361" i="19" s="1"/>
  <c r="H472" i="19"/>
  <c r="H504" i="19"/>
  <c r="G504" i="19" s="1"/>
  <c r="G528" i="19" l="1"/>
  <c r="H451" i="19"/>
  <c r="G451" i="19" s="1"/>
  <c r="O44" i="27"/>
  <c r="N45" i="27" s="1"/>
  <c r="H340" i="19" s="1"/>
  <c r="G340" i="19" s="1"/>
  <c r="G61" i="33"/>
  <c r="I45" i="33"/>
  <c r="I47" i="33" s="1"/>
  <c r="E59" i="33"/>
  <c r="F59" i="33" s="1"/>
  <c r="F60" i="33" s="1"/>
  <c r="H59" i="33"/>
  <c r="O44" i="16"/>
  <c r="A266" i="19"/>
  <c r="H576" i="19"/>
  <c r="H577" i="19" s="1"/>
  <c r="H578" i="19" s="1"/>
  <c r="E47" i="33"/>
  <c r="E48" i="33" s="1"/>
  <c r="E49" i="33" s="1"/>
  <c r="E275" i="19"/>
  <c r="R40" i="16"/>
  <c r="N40" i="16" s="1"/>
  <c r="H393" i="19"/>
  <c r="G393" i="19" s="1"/>
  <c r="H308" i="19" l="1"/>
  <c r="F268" i="19"/>
  <c r="F212" i="19"/>
  <c r="Q45" i="16"/>
  <c r="E276" i="19"/>
  <c r="F140" i="19"/>
  <c r="F239" i="19"/>
  <c r="F56" i="19"/>
  <c r="F174" i="19"/>
  <c r="F97" i="19"/>
  <c r="G62" i="33"/>
  <c r="H61" i="33"/>
  <c r="E61" i="33"/>
  <c r="F61" i="33" s="1"/>
  <c r="H174" i="19" l="1"/>
  <c r="H140" i="19"/>
  <c r="H212" i="19"/>
  <c r="H97" i="19"/>
  <c r="E277" i="19"/>
  <c r="H268" i="19"/>
  <c r="R45" i="16"/>
  <c r="N45" i="16" s="1"/>
  <c r="H239" i="19"/>
  <c r="I49" i="33"/>
  <c r="H56" i="19"/>
  <c r="E62" i="33"/>
  <c r="H62" i="33"/>
  <c r="G271" i="19" l="1"/>
  <c r="N18" i="20"/>
  <c r="N20" i="3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Kropik</author>
  </authors>
  <commentList>
    <comment ref="A12" authorId="0" shapeId="0" xr:uid="{95BD2578-4098-460C-9FB1-FB7ED6C952E9}">
      <text>
        <r>
          <rPr>
            <sz val="9"/>
            <color indexed="81"/>
            <rFont val="Segoe UI"/>
            <family val="2"/>
          </rPr>
          <t xml:space="preserve">Wichtig, wenn im K7-Blatt mit mehreren Löhnen kalkuliert wird. Für jeden Lohn ein eigenes K3-Blatt!
</t>
        </r>
      </text>
    </comment>
    <comment ref="A18" authorId="0" shapeId="0" xr:uid="{3168D117-9807-4C17-BE3F-6A4B499D014E}">
      <text>
        <r>
          <rPr>
            <sz val="9"/>
            <color indexed="81"/>
            <rFont val="Segoe UI"/>
            <family val="2"/>
          </rPr>
          <t>Bitte auswählen. Regie kann nachfolgend kalkuliert werden (f Regie nach unten scrollen).</t>
        </r>
      </text>
    </comment>
    <comment ref="A21" authorId="0" shapeId="0" xr:uid="{4C2FFC39-908A-42BF-B995-22B5C61A5135}">
      <text>
        <r>
          <rPr>
            <sz val="9"/>
            <color indexed="81"/>
            <rFont val="Segoe UI"/>
            <family val="2"/>
          </rPr>
          <t xml:space="preserve">Aus den Dropdown-Feldern d Beschäftigungsgruppe gem KollV wählen.
</t>
        </r>
      </text>
    </comment>
    <comment ref="E21" authorId="0" shapeId="0" xr:uid="{0693C808-C1AE-44FF-A125-7D59C525E399}">
      <text>
        <r>
          <rPr>
            <sz val="9"/>
            <color indexed="81"/>
            <rFont val="Segoe UI"/>
            <family val="2"/>
          </rPr>
          <t xml:space="preserve">Durchschnittliche Anzahl der Projektmitarbeiter angeben.
</t>
        </r>
      </text>
    </comment>
    <comment ref="A34" authorId="0" shapeId="0" xr:uid="{66B69755-74E4-4BAE-921E-FBDF34C39C6C}">
      <text>
        <r>
          <rPr>
            <sz val="9"/>
            <color indexed="81"/>
            <rFont val="Segoe UI"/>
            <family val="2"/>
          </rPr>
          <t xml:space="preserve">Allfällig vorgesehenes unprod. Personal (muss dem gleichen KollV unterliegen!) wählen.
</t>
        </r>
      </text>
    </comment>
    <comment ref="A38" authorId="0" shapeId="0" xr:uid="{0FC14A42-7C22-460C-AB33-15BA56C69BFE}">
      <text>
        <r>
          <rPr>
            <sz val="9"/>
            <color indexed="81"/>
            <rFont val="Segoe UI"/>
            <family val="2"/>
          </rPr>
          <t xml:space="preserve">Festlegen, ob unprod. P. zusätzlich zum oder aus dem Stamm der prod. Mitarbeiter (A1) stammt.
</t>
        </r>
      </text>
    </comment>
    <comment ref="A41" authorId="0" shapeId="0" xr:uid="{8D8CBD44-2F5C-42B7-9A6E-ECAAE6257CFF}">
      <text>
        <r>
          <rPr>
            <sz val="10"/>
            <color indexed="81"/>
            <rFont val="Calibri"/>
            <family val="2"/>
            <scheme val="minor"/>
          </rPr>
          <t>Für allfällige unprod. Zeiten (längere Zugangswege, kurze Arbeitszeitfenster (zB Gleissperre) udgl).</t>
        </r>
        <r>
          <rPr>
            <sz val="9"/>
            <color indexed="81"/>
            <rFont val="Segoe UI"/>
            <family val="2"/>
          </rPr>
          <t xml:space="preserve">
</t>
        </r>
      </text>
    </comment>
    <comment ref="F41" authorId="0" shapeId="0" xr:uid="{C7F5CEBC-B419-431B-9D79-3912D5E18B10}">
      <text>
        <r>
          <rPr>
            <sz val="9"/>
            <color indexed="81"/>
            <rFont val="Segoe UI"/>
            <family val="2"/>
          </rPr>
          <t>unprod. Zeit in % der bezahlten Zeit (zB: 8 Std bezahlte Stunden u 6 erlösbringende Stunden: 2/8 --&gt; 25%.</t>
        </r>
      </text>
    </comment>
    <comment ref="A43" authorId="0" shapeId="0" xr:uid="{E4D3536F-1F7D-4BAA-B208-3BE4A31648EB}">
      <text>
        <r>
          <rPr>
            <sz val="10"/>
            <color indexed="81"/>
            <rFont val="Calibri"/>
            <family val="2"/>
            <scheme val="minor"/>
          </rPr>
          <t>Bitte den Grund / den Umstand für die unproduktive Zeit angeben.</t>
        </r>
      </text>
    </comment>
    <comment ref="C53" authorId="0" shapeId="0" xr:uid="{E0080300-4F64-45C1-90C5-0769F59DFEE9}">
      <text>
        <r>
          <rPr>
            <sz val="9"/>
            <color indexed="81"/>
            <rFont val="Segoe UI"/>
            <family val="2"/>
          </rPr>
          <t xml:space="preserve">Möglichkeit für die Anpassung der errechneten Werte.
</t>
        </r>
      </text>
    </comment>
    <comment ref="A59" authorId="0" shapeId="0" xr:uid="{51FA6DD0-119E-4983-AF78-73A5940F7D90}">
      <text>
        <r>
          <rPr>
            <sz val="9"/>
            <color indexed="81"/>
            <rFont val="Segoe UI"/>
            <family val="2"/>
          </rPr>
          <t xml:space="preserve">Aus den Dropdown-Feldern wählen. Projektgewichtung über Anzahl und Dauer bestimmen.
</t>
        </r>
      </text>
    </comment>
    <comment ref="C59" authorId="0" shapeId="0" xr:uid="{F395F31F-F647-490F-BE75-75D6443935F0}">
      <text>
        <r>
          <rPr>
            <sz val="9"/>
            <color indexed="81"/>
            <rFont val="Segoe UI"/>
            <family val="2"/>
          </rPr>
          <t>Anteil (%) des prod.Pers. Gem A1 die diese Zulage erhalten.</t>
        </r>
      </text>
    </comment>
    <comment ref="D59" authorId="0" shapeId="0" xr:uid="{977514EC-C27F-4C8B-9C7E-1A5F9B08228B}">
      <text>
        <r>
          <rPr>
            <sz val="8"/>
            <color indexed="81"/>
            <rFont val="Segoe UI"/>
            <family val="2"/>
          </rPr>
          <t>Anspruchsdauer in % der Ausführungszeit (zB 3 Monate Arbeit mit Zulage; Gesamtzeit 12 Mo. --&gt; 25%.</t>
        </r>
      </text>
    </comment>
    <comment ref="A71" authorId="0" shapeId="0" xr:uid="{74F29C41-845F-49A3-A60F-721409A42944}">
      <text>
        <r>
          <rPr>
            <sz val="9"/>
            <color indexed="81"/>
            <rFont val="Segoe UI"/>
            <family val="2"/>
          </rPr>
          <t xml:space="preserve">Wenn die Basis f d Aufzahlung in % das "Entgelt" und nicht des "KV-Entgelt" ist, KZ 2 wählen.
</t>
        </r>
      </text>
    </comment>
    <comment ref="A76" authorId="0" shapeId="0" xr:uid="{CF91B884-7E11-4057-9F9F-83A6C9DBF163}">
      <text>
        <r>
          <rPr>
            <sz val="9"/>
            <color indexed="81"/>
            <rFont val="Segoe UI"/>
            <family val="2"/>
          </rPr>
          <t xml:space="preserve">Übernahme dann sinnvoll, wenn unprod. Pers. aus dem Kreis des prod. Pers. festgelegt ist. 
</t>
        </r>
      </text>
    </comment>
    <comment ref="A77" authorId="0" shapeId="0" xr:uid="{77599E7D-DDC4-4641-8743-DE395600141A}">
      <text>
        <r>
          <rPr>
            <sz val="9"/>
            <color indexed="81"/>
            <rFont val="Segoe UI"/>
            <family val="2"/>
          </rPr>
          <t xml:space="preserve">Allfällige Zulagen f d unter A2 kalkulierte unprod. Pers. wählen.
</t>
        </r>
      </text>
    </comment>
    <comment ref="C77" authorId="0" shapeId="0" xr:uid="{845F3918-C567-4FA1-A0CA-EE2000FEF8AA}">
      <text>
        <r>
          <rPr>
            <sz val="8"/>
            <color indexed="81"/>
            <rFont val="Segoe UI"/>
            <family val="2"/>
          </rPr>
          <t>Der anzugebende %-Satz bezieht sich auf die Angabe in A2 die 100% darstellt.</t>
        </r>
      </text>
    </comment>
    <comment ref="A85" authorId="0" shapeId="0" xr:uid="{E2793934-447E-4C27-A553-C3B6B134B566}">
      <text>
        <r>
          <rPr>
            <sz val="9"/>
            <color indexed="81"/>
            <rFont val="Segoe UI"/>
            <family val="2"/>
          </rPr>
          <t xml:space="preserve">Wenn die Basis f d Aufzahlung in % das "Entgelt" und nicht des "KV-Entgelt" ist, KZ 2 wählen.
</t>
        </r>
      </text>
    </comment>
    <comment ref="A91" authorId="0" shapeId="0" xr:uid="{D51E4665-21FD-4C0C-8B29-933E4E6AC297}">
      <text>
        <r>
          <rPr>
            <sz val="9"/>
            <color indexed="81"/>
            <rFont val="Segoe UI"/>
            <family val="2"/>
          </rPr>
          <t xml:space="preserve">Wenn auch die unprod. Zeiten (A3) aufzahlungspflichtig sind, JA auswählen.
</t>
        </r>
      </text>
    </comment>
    <comment ref="A95" authorId="0" shapeId="0" xr:uid="{DECB1D9A-A5D7-4133-8BF6-226618296798}">
      <text>
        <r>
          <rPr>
            <sz val="9"/>
            <color indexed="81"/>
            <rFont val="Segoe UI"/>
            <family val="2"/>
          </rPr>
          <t xml:space="preserve">Individuelle Anpassung des Rechenergebnisses möglich.
</t>
        </r>
      </text>
    </comment>
    <comment ref="A100" authorId="0" shapeId="0" xr:uid="{192EB2A3-BBD1-4098-8476-B5C22887321E}">
      <text>
        <r>
          <rPr>
            <sz val="9"/>
            <color indexed="81"/>
            <rFont val="Segoe UI"/>
            <family val="2"/>
          </rPr>
          <t xml:space="preserve">Entschädigungen die pro Stunde zu bezahlen sind, hier aufnehmen (zB Montagezulage)
</t>
        </r>
      </text>
    </comment>
    <comment ref="D100" authorId="0" shapeId="0" xr:uid="{7FACAF4F-5754-400B-A570-D51E84618DD4}">
      <text>
        <r>
          <rPr>
            <sz val="9"/>
            <color indexed="81"/>
            <rFont val="Segoe UI"/>
            <family val="2"/>
          </rPr>
          <t xml:space="preserve">Anspruchsberechtigte angeben (Basis produktiv Beschäftigte (A1)).
</t>
        </r>
      </text>
    </comment>
    <comment ref="F100" authorId="0" shapeId="0" xr:uid="{5BD8DC0E-D29C-487F-B322-D167C1D513C5}">
      <text>
        <r>
          <rPr>
            <sz val="9"/>
            <color indexed="81"/>
            <rFont val="Segoe UI"/>
            <family val="2"/>
          </rPr>
          <t xml:space="preserve">Übernahme der Stunden von D. Sind sie f d Entschädigung unrichtig, mit %-Satz (links) ausgleichen.
</t>
        </r>
      </text>
    </comment>
    <comment ref="G100" authorId="0" shapeId="0" xr:uid="{A4C01437-D523-4932-9D7A-6CF4CA997AC2}">
      <text>
        <r>
          <rPr>
            <sz val="9"/>
            <color indexed="81"/>
            <rFont val="Segoe UI"/>
            <family val="2"/>
          </rPr>
          <t>Abgabefreiheit/-pflicht wird in den Stammdaten (Blatt QUELLDATEN) bestimmt.</t>
        </r>
      </text>
    </comment>
    <comment ref="A107" authorId="0" shapeId="0" xr:uid="{3219B1FC-398B-40C2-A51E-8BE76D69C2F7}">
      <text>
        <r>
          <rPr>
            <sz val="9"/>
            <color indexed="81"/>
            <rFont val="Segoe UI"/>
            <family val="2"/>
          </rPr>
          <t>Entschädigungen die je Tag anfallen hier aufnehmen (zB Taggeld)</t>
        </r>
      </text>
    </comment>
    <comment ref="A117" authorId="0" shapeId="0" xr:uid="{2F8E59E0-5FA9-415B-9843-4BB60C10CC80}">
      <text>
        <r>
          <rPr>
            <sz val="9"/>
            <color indexed="81"/>
            <rFont val="Segoe UI"/>
            <family val="2"/>
          </rPr>
          <t xml:space="preserve">Entschädigungen die sich auf einen längeren Zeitraum beziehen, in den Quelldaten umrechnen oder mit dem %-Satz variieren.
</t>
        </r>
      </text>
    </comment>
    <comment ref="A126" authorId="0" shapeId="0" xr:uid="{AC17942B-BB0F-4D4D-A60F-BDAC1990E6E5}">
      <text>
        <r>
          <rPr>
            <sz val="9"/>
            <color indexed="81"/>
            <rFont val="Segoe UI"/>
            <family val="2"/>
          </rPr>
          <t xml:space="preserve">Möglichkeit, weitere Entschädigungen auf Basis Stunden-Lohn (KV oder KV+AKV; siehe KZ rechts) anzugeben.
</t>
        </r>
      </text>
    </comment>
    <comment ref="C126" authorId="0" shapeId="0" xr:uid="{878B430C-B62D-4DAC-A600-488673675A24}">
      <text>
        <r>
          <rPr>
            <sz val="9"/>
            <color indexed="81"/>
            <rFont val="Segoe UI"/>
            <family val="2"/>
          </rPr>
          <t>Anzahl der vergütungspflichtigen Std pro Tag (Feld links) und die Tage/Woche
angeben.</t>
        </r>
      </text>
    </comment>
    <comment ref="D126" authorId="0" shapeId="0" xr:uid="{EAB92B82-D865-41E8-84E7-2CFBE43BC455}">
      <text>
        <r>
          <rPr>
            <sz val="9"/>
            <color indexed="81"/>
            <rFont val="Segoe UI"/>
            <family val="2"/>
          </rPr>
          <t>Wie viel % des Basissatzes ist zu pro Std zu vergüten (100% wenn voller Std-Satz zu vergüten ist.</t>
        </r>
      </text>
    </comment>
    <comment ref="E129" authorId="0" shapeId="0" xr:uid="{11D5438A-B115-4565-9882-1C36298FFAE3}">
      <text>
        <r>
          <rPr>
            <sz val="9"/>
            <color indexed="81"/>
            <rFont val="Segoe UI"/>
            <family val="2"/>
          </rPr>
          <t xml:space="preserve">Ist die Basis f d Vergütung das KV-Entgelt, dann KZ=1 oder das "Entgelt", dann KZ = 2 wählen.
</t>
        </r>
      </text>
    </comment>
    <comment ref="E134" authorId="0" shapeId="0" xr:uid="{62048026-275B-41DC-A4F3-B817932D8095}">
      <text>
        <r>
          <rPr>
            <sz val="9"/>
            <color indexed="81"/>
            <rFont val="Segoe UI"/>
            <family val="2"/>
          </rPr>
          <t>Anpassung f a) zB wegen Ausfallzeiten Schlechtwetter.</t>
        </r>
      </text>
    </comment>
    <comment ref="D135" authorId="0" shapeId="0" xr:uid="{7BAA78D4-5C13-4F61-97A3-999E6414236F}">
      <text>
        <r>
          <rPr>
            <sz val="9"/>
            <color indexed="81"/>
            <rFont val="Segoe UI"/>
            <family val="2"/>
          </rPr>
          <t xml:space="preserve">Rechenwert für unproduktiv (nach "Köpfen"). Individuelle Anpassung (+/-) möglich.
</t>
        </r>
      </text>
    </comment>
    <comment ref="A136" authorId="0" shapeId="0" xr:uid="{448AB760-A578-4E68-BE3E-F805BD2A3162}">
      <text>
        <r>
          <rPr>
            <sz val="9"/>
            <color indexed="81"/>
            <rFont val="Segoe UI"/>
            <family val="2"/>
          </rPr>
          <t xml:space="preserve">Anpassungen bzw Ausgleich zw abgabepflichtig u nicht abgabepfl. Entschädigungen.
</t>
        </r>
      </text>
    </comment>
    <comment ref="A143" authorId="0" shapeId="0" xr:uid="{09828BE4-3AB8-458B-B58D-47AC9DBE5CED}">
      <text>
        <r>
          <rPr>
            <sz val="9"/>
            <color indexed="81"/>
            <rFont val="Segoe UI"/>
            <family val="2"/>
          </rPr>
          <t xml:space="preserve">KollV regeln sehr unterschiedlich. Die Basis für die Aufzahlung wird durch die KZ 1 bis 4 festgelegt.
</t>
        </r>
      </text>
    </comment>
    <comment ref="G143" authorId="0" shapeId="0" xr:uid="{F72C3B8B-7B41-4819-8F51-0A5C3139FBBB}">
      <text>
        <r>
          <rPr>
            <sz val="8"/>
            <color indexed="81"/>
            <rFont val="Segoe UI"/>
            <family val="2"/>
          </rPr>
          <t>Notwendig, weil sich Zuschlag gem K3 auf KV-Entgelt bezieht. Größer 1,00, wenn die Basis KV plus Aufzahlungen ist.</t>
        </r>
      </text>
    </comment>
    <comment ref="H143" authorId="0" shapeId="0" xr:uid="{1166D1FC-3155-459F-95A6-2A67841996D7}">
      <text>
        <r>
          <rPr>
            <sz val="9"/>
            <color indexed="81"/>
            <rFont val="Segoe UI"/>
            <family val="2"/>
          </rPr>
          <t>Jener Faktor der im KollV festgelegt ist (Eingabe erfolgt in den Stammdaten/Quelldatei).</t>
        </r>
      </text>
    </comment>
    <comment ref="A152" authorId="0" shapeId="0" xr:uid="{6D13DCEB-749A-4835-9F75-F67E25887977}">
      <text>
        <r>
          <rPr>
            <sz val="8"/>
            <color indexed="81"/>
            <rFont val="Segoe UI"/>
            <family val="2"/>
          </rPr>
          <t>Mehrarbeits- oder Überstunden hier auswählen. Anzahl der Std pro Woche angeben. KZ f d Basis der Aufz. wählen.</t>
        </r>
        <r>
          <rPr>
            <sz val="9"/>
            <color indexed="81"/>
            <rFont val="Segoe UI"/>
            <family val="2"/>
          </rPr>
          <t xml:space="preserve">
</t>
        </r>
      </text>
    </comment>
    <comment ref="A159" authorId="0" shapeId="0" xr:uid="{E76544BF-07D6-47F5-AC78-725EEEED48DC}">
      <text>
        <r>
          <rPr>
            <sz val="8"/>
            <color indexed="81"/>
            <rFont val="Segoe UI"/>
            <family val="2"/>
          </rPr>
          <t>Verr.-Std f zB Schichtarbeit od Nachtarbeit angeben. Die Aufz. Ist gem KollV in %; Basis durch KZ festlegen.</t>
        </r>
        <r>
          <rPr>
            <sz val="9"/>
            <color indexed="81"/>
            <rFont val="Segoe UI"/>
            <family val="2"/>
          </rPr>
          <t xml:space="preserve">
</t>
        </r>
      </text>
    </comment>
    <comment ref="A165" authorId="0" shapeId="0" xr:uid="{55B7714D-04EC-4075-9E79-674B6F69500D}">
      <text>
        <r>
          <rPr>
            <sz val="8"/>
            <color indexed="81"/>
            <rFont val="Segoe UI"/>
            <family val="2"/>
          </rPr>
          <t>Verr.-Std f zB Schichtarbeit od Nachtarbeit angeben. Die Aufz. ist gem KollV in Euro.</t>
        </r>
      </text>
    </comment>
    <comment ref="A182" authorId="0" shapeId="0" xr:uid="{D4271A1E-8AB3-4B4D-BE26-0E735E3D3C53}">
      <text>
        <r>
          <rPr>
            <sz val="8"/>
            <color indexed="81"/>
            <rFont val="Segoe UI"/>
            <family val="2"/>
          </rPr>
          <t>Abminderung ist ev bei Errechnung der UPNK nach Musterkalkulation (siehe www.bauwesen.at) zweckmäßig.</t>
        </r>
      </text>
    </comment>
    <comment ref="A183" authorId="0" shapeId="0" xr:uid="{B7E06ED0-C968-43B3-8768-88E1F5454FCA}">
      <text>
        <r>
          <rPr>
            <sz val="8"/>
            <color indexed="81"/>
            <rFont val="Calibri"/>
            <family val="2"/>
            <scheme val="minor"/>
          </rPr>
          <t>Anpassung wegen projekt-
individueller Mehrarbeit? Wenn JA, erfolgt eine Abminderung der Werte gem Stammdaten (Quelldatei).</t>
        </r>
        <r>
          <rPr>
            <sz val="9"/>
            <color indexed="81"/>
            <rFont val="Segoe UI"/>
            <family val="2"/>
          </rPr>
          <t xml:space="preserve">
</t>
        </r>
      </text>
    </comment>
    <comment ref="A185" authorId="0" shapeId="0" xr:uid="{9ACFE8AF-9B82-4CB3-BF8F-4200B3DC0EA8}">
      <text>
        <r>
          <rPr>
            <sz val="9"/>
            <color indexed="81"/>
            <rFont val="Segoe UI"/>
            <family val="2"/>
          </rPr>
          <t xml:space="preserve">Anpassung der Stammdaten wegen Mehrentgelt? Je nach KollV die Anpassung nach 2a oder 2b wählen.
</t>
        </r>
      </text>
    </comment>
    <comment ref="A186" authorId="0" shapeId="0" xr:uid="{C5A4219C-8C85-4B59-8A05-B08F437E8838}">
      <text>
        <r>
          <rPr>
            <sz val="9"/>
            <color indexed="81"/>
            <rFont val="Segoe UI"/>
            <family val="2"/>
          </rPr>
          <t xml:space="preserve">Relevant für alle Bau-KollV mit Ausnahme Eisen- und Metallverarb. Gew. und  Elektroindustrie.
</t>
        </r>
      </text>
    </comment>
    <comment ref="A188" authorId="0" shapeId="0" xr:uid="{A851EED8-7E8F-41B2-8067-BEA4CA68984C}">
      <text>
        <r>
          <rPr>
            <sz val="9"/>
            <color indexed="81"/>
            <rFont val="Segoe UI"/>
            <family val="2"/>
          </rPr>
          <t>Relevant für das Eisen- und Metallverarb. Gew. und  die Elektroindustrie.</t>
        </r>
      </text>
    </comment>
    <comment ref="A200" authorId="0" shapeId="0" xr:uid="{F0021DD1-F40E-48AE-A78C-45AB28EA4937}">
      <text>
        <r>
          <rPr>
            <sz val="9"/>
            <color indexed="81"/>
            <rFont val="Segoe UI"/>
            <family val="2"/>
          </rPr>
          <t>Weitere, unter E1 und E2 noch nicht erfasste PNK. Siehe auch Personalgemeinkosten (F).</t>
        </r>
      </text>
    </comment>
    <comment ref="F200" authorId="0" shapeId="0" xr:uid="{9EBE5A3E-AA49-43E4-B094-3346BD35CC43}">
      <text>
        <r>
          <rPr>
            <sz val="9"/>
            <color indexed="81"/>
            <rFont val="Segoe UI"/>
            <family val="2"/>
          </rPr>
          <t xml:space="preserve">Basis ist das abgabe-
pflichtige Entgelt (ohne Sonderzahlungen) in der produktiven
 Arbeitszeit. </t>
        </r>
      </text>
    </comment>
    <comment ref="A203" authorId="0" shapeId="0" xr:uid="{8B832EC0-2023-428B-B8FF-5F973F33305F}">
      <text>
        <r>
          <rPr>
            <sz val="9"/>
            <color indexed="81"/>
            <rFont val="Segoe UI"/>
            <family val="2"/>
          </rPr>
          <t>Berechnungstool für Abgaben pro Woche in Euro (zB Wr. U-Bahn Steuer).</t>
        </r>
      </text>
    </comment>
    <comment ref="A206" authorId="0" shapeId="0" xr:uid="{9FAF9A10-3B7E-403B-87EB-BEFE38CACD46}">
      <text>
        <r>
          <rPr>
            <sz val="9"/>
            <color indexed="81"/>
            <rFont val="Segoe UI"/>
            <family val="2"/>
          </rPr>
          <t>Wenn auch in Ausfallzeiten anfällt: Zuschlag auf erlösbringfende Zeit 
für Ausfallzeiten.</t>
        </r>
      </text>
    </comment>
    <comment ref="A215" authorId="0" shapeId="0" xr:uid="{81846EAD-B044-4830-958A-8B6AD0306DC1}">
      <text>
        <r>
          <rPr>
            <sz val="8"/>
            <color indexed="81"/>
            <rFont val="Segoe UI"/>
            <family val="2"/>
          </rPr>
          <t>Individuell mit Werten  aus der Kostenrechnung abstimmen. Vorgeschlagene Kostenelemente können auch wo anders berücksichtigt sein.</t>
        </r>
      </text>
    </comment>
    <comment ref="E215" authorId="0" shapeId="0" xr:uid="{9329535E-5987-417A-A817-7A97C12935A4}">
      <text>
        <r>
          <rPr>
            <sz val="8"/>
            <color indexed="81"/>
            <rFont val="Calibri"/>
            <family val="2"/>
            <scheme val="minor"/>
          </rPr>
          <t>Hinweis f d Ermittlung des %-Satzes. Basis: gesamten Personalkosten (inkl Sonderzahlungen u Abgaben).</t>
        </r>
      </text>
    </comment>
    <comment ref="A216" authorId="0" shapeId="0" xr:uid="{884EC771-2AE8-434D-9129-D2A5B76BBFCB}">
      <text>
        <r>
          <rPr>
            <sz val="9"/>
            <color indexed="81"/>
            <rFont val="Segoe UI"/>
            <family val="2"/>
          </rPr>
          <t>Werte die sich projektbezogen nicht ändern. Als Summe ODER detailliert angeben.</t>
        </r>
      </text>
    </comment>
    <comment ref="G219" authorId="0" shapeId="0" xr:uid="{8CBD09E0-C63B-4B1B-87C6-1452DF06AEDB}">
      <text>
        <r>
          <rPr>
            <sz val="8"/>
            <color indexed="81"/>
            <rFont val="Segoe UI"/>
            <family val="2"/>
          </rPr>
          <t>Kosten pro Woche in € je Arbeitnehmer eintragen. Berechnungsergebnis wird in die PGK übertragen.</t>
        </r>
        <r>
          <rPr>
            <sz val="9"/>
            <color indexed="81"/>
            <rFont val="Segoe UI"/>
            <family val="2"/>
          </rPr>
          <t xml:space="preserve">
</t>
        </r>
      </text>
    </comment>
    <comment ref="A227" authorId="0" shapeId="0" xr:uid="{515489BC-9179-4688-8A40-7BBE9D2A07A1}">
      <text>
        <r>
          <rPr>
            <sz val="9"/>
            <color indexed="81"/>
            <rFont val="Segoe UI"/>
            <family val="2"/>
          </rPr>
          <t>Werte die sich projektbezogen ändern. Als Summe ODER detailliert angeben.</t>
        </r>
      </text>
    </comment>
    <comment ref="G229" authorId="0" shapeId="0" xr:uid="{5B56F9B7-01DA-4A21-AE05-59B675296056}">
      <text>
        <r>
          <rPr>
            <sz val="9"/>
            <color indexed="81"/>
            <rFont val="Segoe UI"/>
            <family val="2"/>
          </rPr>
          <t>Kosten pro Woche für alle kalkulierten Arbeitnehmer in € eintragen.</t>
        </r>
      </text>
    </comment>
    <comment ref="A242" authorId="0" shapeId="0" xr:uid="{B2B0CF0F-2BB7-44D1-A97B-E60AB9D5FCEE}">
      <text>
        <r>
          <rPr>
            <sz val="9"/>
            <color indexed="81"/>
            <rFont val="Segoe UI"/>
            <family val="2"/>
          </rPr>
          <t>Diverse Felder sind bereits standardisiert. Bzw individuelle eingeben. IdR entweder in € od % (Basis Personalaufwand)</t>
        </r>
      </text>
    </comment>
    <comment ref="A243" authorId="0" shapeId="0" xr:uid="{5205781F-598A-4499-B409-0A090E4991DD}">
      <text>
        <r>
          <rPr>
            <sz val="9"/>
            <color indexed="81"/>
            <rFont val="Segoe UI"/>
            <family val="2"/>
          </rPr>
          <t>Umlage für … (zB) BGK auf die produktiven Stunden. Erläuternden Text eingeben!</t>
        </r>
      </text>
    </comment>
    <comment ref="A265" authorId="0" shapeId="0" xr:uid="{2C608C48-8407-4717-A83A-5A4703F012F7}">
      <text>
        <r>
          <rPr>
            <sz val="9"/>
            <color indexed="81"/>
            <rFont val="Segoe UI"/>
            <family val="2"/>
          </rPr>
          <t>Gesamtzuschlag zuvor im K2-Blatt eintragen.</t>
        </r>
      </text>
    </comment>
    <comment ref="A292" authorId="0" shapeId="0" xr:uid="{6D6F0459-A32A-4BAE-B791-9A9661B56262}">
      <text>
        <r>
          <rPr>
            <sz val="9"/>
            <color indexed="81"/>
            <rFont val="Segoe UI"/>
            <family val="2"/>
          </rPr>
          <t>KollV-Beschäftigungs-gruppe auswählen.
(Achtung: Soll ,it "Bezeichnung" zusammen passen.</t>
        </r>
      </text>
    </comment>
    <comment ref="A295" authorId="0" shapeId="0" xr:uid="{56E4F2B6-7245-44CE-8B33-34BF4B2E8538}">
      <text>
        <r>
          <rPr>
            <sz val="9"/>
            <color indexed="81"/>
            <rFont val="Segoe UI"/>
            <family val="2"/>
          </rPr>
          <t>Wenn gem Vertragsbedingungen Aufsicht od manche Regiezeiten nicht verrechenbar sind, hier wählen.</t>
        </r>
      </text>
    </comment>
    <comment ref="E305" authorId="0" shapeId="0" xr:uid="{AB7F27B2-2528-44EB-BD7C-DD9E956395DD}">
      <text>
        <r>
          <rPr>
            <sz val="9"/>
            <color indexed="81"/>
            <rFont val="Segoe UI"/>
            <family val="2"/>
          </rPr>
          <t>Individuelle Anpassung der Rechenergebnisse möglich.</t>
        </r>
      </text>
    </comment>
    <comment ref="G310" authorId="0" shapeId="0" xr:uid="{453FF3F2-F4D0-4CCB-9BD2-539A242D3AC7}">
      <text>
        <r>
          <rPr>
            <sz val="9"/>
            <color indexed="81"/>
            <rFont val="Segoe UI"/>
            <family val="2"/>
          </rPr>
          <t>Werte werden v d Mittelpersonalpreiskalk. übernommen. Allf. Anpassung muss plausibel sein!!!</t>
        </r>
      </text>
    </comment>
    <comment ref="A313" authorId="0" shapeId="0" xr:uid="{014D2A79-3653-4D29-A917-6CEE496AEFE1}">
      <text>
        <r>
          <rPr>
            <sz val="9"/>
            <color indexed="81"/>
            <rFont val="Segoe UI"/>
            <family val="2"/>
          </rPr>
          <t>Erschwerniszulagen sind idR vor der Leistungserbringung zu vereinbaren, daher auf 0 gesetzt.</t>
        </r>
      </text>
    </comment>
    <comment ref="A314" authorId="0" shapeId="0" xr:uid="{6691D937-81DF-4A55-B7E3-40B89AE9A9C0}">
      <text>
        <r>
          <rPr>
            <sz val="9"/>
            <color indexed="81"/>
            <rFont val="Segoe UI"/>
            <family val="2"/>
          </rPr>
          <t>Möglichkeit der Kalkulation eines Arbeitszeitzuschlages. Im Standard auf 0 gesetzt.</t>
        </r>
      </text>
    </comment>
    <comment ref="A318" authorId="0" shapeId="0" xr:uid="{FCB1CD14-3332-4C1C-96A4-5BDA017DCC5D}">
      <text>
        <r>
          <rPr>
            <sz val="9"/>
            <color indexed="81"/>
            <rFont val="Segoe UI"/>
            <family val="2"/>
          </rPr>
          <t xml:space="preserve">Festlegung, worauf sich der Zuschlag bezieht. Daraus wird der weitere Berechnungsfaktor ermittelt. Siehe Punkt D).
</t>
        </r>
      </text>
    </comment>
    <comment ref="A319" authorId="0" shapeId="0" xr:uid="{5F3288BD-B252-4E98-9BE7-4C79663462C3}">
      <text>
        <r>
          <rPr>
            <sz val="9"/>
            <color indexed="81"/>
            <rFont val="Segoe UI"/>
            <family val="2"/>
          </rPr>
          <t>Für Sonntagsarbeit, Schicht etc die im KollV in % vereinbart ist.</t>
        </r>
      </text>
    </comment>
    <comment ref="A322" authorId="0" shapeId="0" xr:uid="{4162EDBC-E67C-4F2F-BA50-AB3D39E52A2A}">
      <text>
        <r>
          <rPr>
            <sz val="9"/>
            <color indexed="81"/>
            <rFont val="Segoe UI"/>
            <family val="2"/>
          </rPr>
          <t xml:space="preserve">Festlegung, worauf sich der Zuschlag bezieht. Daraus wird der weitere Berechnungsfaktor ermittelt. Siehe Punkt D).
</t>
        </r>
      </text>
    </comment>
    <comment ref="A323" authorId="0" shapeId="0" xr:uid="{58B3DF14-0226-405F-AB6C-B700E6273C0C}">
      <text>
        <r>
          <rPr>
            <sz val="9"/>
            <color indexed="81"/>
            <rFont val="Segoe UI"/>
            <family val="2"/>
          </rPr>
          <t>Für Sonntagsarbeit, Schicht etc die im KollV in Euro vereinbart ist.</t>
        </r>
      </text>
    </comment>
    <comment ref="A333" authorId="0" shapeId="0" xr:uid="{66774EF6-DE7E-4F37-A268-C4142C4A5F4C}">
      <text>
        <r>
          <rPr>
            <sz val="9"/>
            <color indexed="81"/>
            <rFont val="Segoe UI"/>
            <family val="2"/>
          </rPr>
          <t>Für Regie relevante Umlagen auswählen!</t>
        </r>
      </text>
    </comment>
    <comment ref="G363" authorId="0" shapeId="0" xr:uid="{ECC4217D-3A40-4829-9769-75AD7D77149C}">
      <text>
        <r>
          <rPr>
            <sz val="9"/>
            <color indexed="81"/>
            <rFont val="Segoe UI"/>
            <family val="2"/>
          </rPr>
          <t>Werte werden v d Mittelpersonalpreiskalk. übernommen. Allf. Anpassung muss plausibel sein!!!</t>
        </r>
      </text>
    </comment>
    <comment ref="G421" authorId="0" shapeId="0" xr:uid="{394DA482-9AF7-4685-81AF-7ED2A7830DB6}">
      <text>
        <r>
          <rPr>
            <sz val="9"/>
            <color indexed="81"/>
            <rFont val="Segoe UI"/>
            <family val="2"/>
          </rPr>
          <t>Werte werden v d Mittelpersonalpreiskalk. übernommen. Allf. Anpassung muss plausibel sein!!!</t>
        </r>
      </text>
    </comment>
    <comment ref="G474" authorId="0" shapeId="0" xr:uid="{CA008095-F116-45D9-94A3-310E0A567A87}">
      <text>
        <r>
          <rPr>
            <sz val="9"/>
            <color indexed="81"/>
            <rFont val="Segoe UI"/>
            <family val="2"/>
          </rPr>
          <t>Werte werden v d Mittelpersonalpreiskalk. übernommen. Allf. Anpassung muss plausibel sein!!!</t>
        </r>
      </text>
    </comment>
    <comment ref="A509" authorId="0" shapeId="0" xr:uid="{3744CAC6-79BE-4A40-8361-B2A6D09416AB}">
      <text>
        <r>
          <rPr>
            <b/>
            <sz val="9"/>
            <color indexed="81"/>
            <rFont val="Segoe UI"/>
            <family val="2"/>
          </rPr>
          <t>Möglichkeit der Eingabe einer "Regielohnpartie"</t>
        </r>
      </text>
    </comment>
    <comment ref="G530" authorId="0" shapeId="0" xr:uid="{E08142B7-17F2-4671-965B-90CA7FB3E2E6}">
      <text>
        <r>
          <rPr>
            <sz val="9"/>
            <color indexed="81"/>
            <rFont val="Segoe UI"/>
            <family val="2"/>
          </rPr>
          <t>Werte werden v d Mittelpersonalpreiskalk. übernommen. Allf. Anpassung muss plausibel sein!!!</t>
        </r>
      </text>
    </comment>
  </commentList>
</comments>
</file>

<file path=xl/sharedStrings.xml><?xml version="1.0" encoding="utf-8"?>
<sst xmlns="http://schemas.openxmlformats.org/spreadsheetml/2006/main" count="1619" uniqueCount="708">
  <si>
    <t>I</t>
  </si>
  <si>
    <t>Erstellt am:</t>
  </si>
  <si>
    <t>FÜR MONTAGE</t>
  </si>
  <si>
    <t>FÜR VORFERTIGUNG</t>
  </si>
  <si>
    <t>O</t>
  </si>
  <si>
    <t>P</t>
  </si>
  <si>
    <t>Q</t>
  </si>
  <si>
    <t>S</t>
  </si>
  <si>
    <t>Lohn</t>
  </si>
  <si>
    <t>X</t>
  </si>
  <si>
    <t>A</t>
  </si>
  <si>
    <t>B</t>
  </si>
  <si>
    <t>D</t>
  </si>
  <si>
    <t>E</t>
  </si>
  <si>
    <t>F</t>
  </si>
  <si>
    <t>G</t>
  </si>
  <si>
    <t>H</t>
  </si>
  <si>
    <t>J</t>
  </si>
  <si>
    <t>K</t>
  </si>
  <si>
    <t>L</t>
  </si>
  <si>
    <t>M</t>
  </si>
  <si>
    <t>abgabepfl.</t>
  </si>
  <si>
    <t xml:space="preserve"> </t>
  </si>
  <si>
    <t>Anzahl</t>
  </si>
  <si>
    <t>N</t>
  </si>
  <si>
    <t>€/Tag</t>
  </si>
  <si>
    <t>Produkt</t>
  </si>
  <si>
    <t>Bezeichnung</t>
  </si>
  <si>
    <t>Euro je Arbeitswoche</t>
  </si>
  <si>
    <t>K3</t>
  </si>
  <si>
    <t xml:space="preserve"> Personalpreis</t>
  </si>
  <si>
    <t>Projekt:</t>
  </si>
  <si>
    <t>Unternehmen (UN):</t>
  </si>
  <si>
    <t>LOHN</t>
  </si>
  <si>
    <t>GEHALT</t>
  </si>
  <si>
    <t>FÜR REGIE</t>
  </si>
  <si>
    <t>KV-Datum:</t>
  </si>
  <si>
    <t>Anteil</t>
  </si>
  <si>
    <t>gewicht. Wert</t>
  </si>
  <si>
    <t>1a</t>
  </si>
  <si>
    <t>Zuschlag</t>
  </si>
  <si>
    <t>1b</t>
  </si>
  <si>
    <t>1c</t>
  </si>
  <si>
    <t>1d</t>
  </si>
  <si>
    <t>1e</t>
  </si>
  <si>
    <t>1f</t>
  </si>
  <si>
    <t>1g</t>
  </si>
  <si>
    <t>1h</t>
  </si>
  <si>
    <t>1i</t>
  </si>
  <si>
    <t>Gewichtetes kollektivvertragliches Entgelt</t>
  </si>
  <si>
    <t>Anteil für unproduktive Zeiten</t>
  </si>
  <si>
    <t>% auf B3</t>
  </si>
  <si>
    <t>Abgabepflichtige Personalkosten</t>
  </si>
  <si>
    <t>Direkte Personalnebenkosten</t>
  </si>
  <si>
    <t>in % auf B10</t>
  </si>
  <si>
    <t>Umgelegte Personalnebenkosten</t>
  </si>
  <si>
    <t>Weitere Personalnebenkosten</t>
  </si>
  <si>
    <t>Personalkosten vor Zurechnungen</t>
  </si>
  <si>
    <t>Personalgemeinkosten</t>
  </si>
  <si>
    <t>in % auf B15</t>
  </si>
  <si>
    <t>17a</t>
  </si>
  <si>
    <t>17b</t>
  </si>
  <si>
    <t>17c</t>
  </si>
  <si>
    <t>in % auf A18</t>
  </si>
  <si>
    <t>in % auf B18</t>
  </si>
  <si>
    <t>Gesamtzuschlag gemäß Formblatt K2</t>
  </si>
  <si>
    <t>Mittellohn - Mittelgehalt - Regielohn - Regiegehalt - Preis</t>
  </si>
  <si>
    <t>Summe</t>
  </si>
  <si>
    <t>Summen</t>
  </si>
  <si>
    <t>Bezeichnung bzw Betriebsmittelnummer:</t>
  </si>
  <si>
    <t>Zuschlagsträger</t>
  </si>
  <si>
    <t>Basis</t>
  </si>
  <si>
    <t>Basis für Finan- zierungs-kosten</t>
  </si>
  <si>
    <t>Zuschlag für Finanzierungs-kosten</t>
  </si>
  <si>
    <t>Basis für Wagnis und Gewinn</t>
  </si>
  <si>
    <t>Zuschlag für Wagnis</t>
  </si>
  <si>
    <t>Zuschlag für Gewinn</t>
  </si>
  <si>
    <t>%-Wert</t>
  </si>
  <si>
    <t>%-Satz</t>
  </si>
  <si>
    <t>Alle Werte Basis:</t>
  </si>
  <si>
    <t>Arbeitszeitzuschläge</t>
  </si>
  <si>
    <t>Prozent</t>
  </si>
  <si>
    <t>Kosten pro Woche</t>
  </si>
  <si>
    <t>in €</t>
  </si>
  <si>
    <t>Zuschlag%</t>
  </si>
  <si>
    <t>AKV in €</t>
  </si>
  <si>
    <t>KV</t>
  </si>
  <si>
    <t>AKV</t>
  </si>
  <si>
    <t>Kalkulationsdatum:</t>
  </si>
  <si>
    <t>Produktives Personal / Zeiten</t>
  </si>
  <si>
    <t>Unproduktives Personal / Zeiten</t>
  </si>
  <si>
    <t>Umlage</t>
  </si>
  <si>
    <t>Wert</t>
  </si>
  <si>
    <t>produktiv:</t>
  </si>
  <si>
    <t>unprod.:</t>
  </si>
  <si>
    <t>Beitragsfrei maximal</t>
  </si>
  <si>
    <t>Betrag pro Tag</t>
  </si>
  <si>
    <t>Betrag pro Woche</t>
  </si>
  <si>
    <t>SV-frei</t>
  </si>
  <si>
    <t>SV-pflichtig</t>
  </si>
  <si>
    <t>€/Woche</t>
  </si>
  <si>
    <t>Dienstreisevergütungen/Tag</t>
  </si>
  <si>
    <t>Zwischensumme</t>
  </si>
  <si>
    <t>Stunden pro Woche</t>
  </si>
  <si>
    <t>unprod.</t>
  </si>
  <si>
    <t>Umlagen</t>
  </si>
  <si>
    <t>% auf B5</t>
  </si>
  <si>
    <t>Titel</t>
  </si>
  <si>
    <t>€/Wo</t>
  </si>
  <si>
    <t>in €/STD</t>
  </si>
  <si>
    <t>Umlage von Kosten für:</t>
  </si>
  <si>
    <t>in %</t>
  </si>
  <si>
    <t>Gruppe</t>
  </si>
  <si>
    <t>SUMMEN</t>
  </si>
  <si>
    <t>K2  Gesamtzuschläge</t>
  </si>
  <si>
    <t>Preisbasis gem. Angebotsunterlagen</t>
  </si>
  <si>
    <t>Gesamtzuschlag auf</t>
  </si>
  <si>
    <t>Basis für GGK</t>
  </si>
  <si>
    <t>Zuschlag für Geschäftsge-meinkosten (GGK)</t>
  </si>
  <si>
    <t>Ergebnis (Preis)</t>
  </si>
  <si>
    <t>%-Wert = 100%</t>
  </si>
  <si>
    <t>Fertigungsgemeinkosten</t>
  </si>
  <si>
    <t>Anpassung</t>
  </si>
  <si>
    <t>KV Datum:</t>
  </si>
  <si>
    <t xml:space="preserve">   für:</t>
  </si>
  <si>
    <t/>
  </si>
  <si>
    <t xml:space="preserve">Regiepreis pro Stunde für </t>
  </si>
  <si>
    <t>gem KollV</t>
  </si>
  <si>
    <t>Dienstreisevergütungen/Woche</t>
  </si>
  <si>
    <t>abgabefrei</t>
  </si>
  <si>
    <t>abgabe-pflichtig</t>
  </si>
  <si>
    <t>Zurechnungen (Umlagen) in K3 Spalte A</t>
  </si>
  <si>
    <t>Abgabepflichtige Aufwandsentschädigungen</t>
  </si>
  <si>
    <t>Nicht abgabepflichtige Personalkosten</t>
  </si>
  <si>
    <t>Umlage in % (U%) auf B15</t>
  </si>
  <si>
    <r>
      <rPr>
        <sz val="9"/>
        <rFont val="Calibri"/>
        <family val="2"/>
      </rPr>
      <t>∑</t>
    </r>
    <r>
      <rPr>
        <i/>
        <sz val="9"/>
        <rFont val="Calibri"/>
        <family val="2"/>
        <scheme val="minor"/>
      </rPr>
      <t xml:space="preserve"> B10 bis B14</t>
    </r>
  </si>
  <si>
    <t>KV-Gruppe u. Bezeichnung</t>
  </si>
  <si>
    <t>KV-Entgelt</t>
  </si>
  <si>
    <t>Arbeitszeit gem KV (Std/Woche):</t>
  </si>
  <si>
    <t>Außerkollektivvertragliches Entgelt</t>
  </si>
  <si>
    <t>in €/Std</t>
  </si>
  <si>
    <t>auf Entgelt</t>
  </si>
  <si>
    <t>pro Tag</t>
  </si>
  <si>
    <t>Stammdaten Kollektivvertrag</t>
  </si>
  <si>
    <r>
      <t>AKV</t>
    </r>
    <r>
      <rPr>
        <vertAlign val="superscript"/>
        <sz val="10"/>
        <rFont val="Calibri"/>
        <family val="2"/>
        <scheme val="minor"/>
      </rPr>
      <t>1</t>
    </r>
    <r>
      <rPr>
        <sz val="12"/>
        <rFont val="Calibri"/>
        <family val="2"/>
        <scheme val="minor"/>
      </rPr>
      <t xml:space="preserve"> in % v KV</t>
    </r>
  </si>
  <si>
    <t xml:space="preserve">Hinweis: Zeitentschädigung für Fahrten in Std-Löhne werden im Projekt eingebenen. </t>
  </si>
  <si>
    <t>Mehrarbeitsfaktor (MAF)</t>
  </si>
  <si>
    <t xml:space="preserve">Werte gem K3: </t>
  </si>
  <si>
    <t>Werte gem Stammdaten</t>
  </si>
  <si>
    <t>Mehrlohnfaktor (MLF)</t>
  </si>
  <si>
    <t>Aufteilung in die Kategorien:</t>
  </si>
  <si>
    <t>Stammdaten</t>
  </si>
  <si>
    <t>Arbeitszeit (1,00 Regiestunde)</t>
  </si>
  <si>
    <t>Umlagen soweit auch auf Regie (K3 Zeilen 17i)</t>
  </si>
  <si>
    <t>GZ auf Umlage (wie in Personalpreiskalkulation); K3 Spalte A, Zeile 20</t>
  </si>
  <si>
    <t>Standard-werte</t>
  </si>
  <si>
    <t>Rechen-werte für K3 Regie</t>
  </si>
  <si>
    <t>K3 Zeile 8: Arbeitszeitzuschlag</t>
  </si>
  <si>
    <t>K3 Zeile 12: Direkte Personalnebenkosten</t>
  </si>
  <si>
    <t>K3 Zeile 14: Weitere Personalnebenkosten</t>
  </si>
  <si>
    <t>K3 Zeile 16: Personalgemeinkosten</t>
  </si>
  <si>
    <t>Rechenwert</t>
  </si>
  <si>
    <r>
      <t xml:space="preserve">Gesamtzuschlag Regie </t>
    </r>
    <r>
      <rPr>
        <sz val="11"/>
        <rFont val="Calibri"/>
        <family val="2"/>
        <scheme val="minor"/>
      </rPr>
      <t>(in K2 Blatt berechnen)</t>
    </r>
    <r>
      <rPr>
        <b/>
        <sz val="11"/>
        <rFont val="Calibri"/>
        <family val="2"/>
        <scheme val="minor"/>
      </rPr>
      <t>; K3 Spalte B, Zeile 20</t>
    </r>
  </si>
  <si>
    <t>Allgemeine Projektdaten</t>
  </si>
  <si>
    <t>Berechnung</t>
  </si>
  <si>
    <t>KV-Entgelt unproduktiv</t>
  </si>
  <si>
    <t>KV-Entgelt produktiv</t>
  </si>
  <si>
    <t>KV pro Std gewichtet</t>
  </si>
  <si>
    <t>AKV pro Std gewichtet</t>
  </si>
  <si>
    <t>K3 Zeile 4</t>
  </si>
  <si>
    <t>K3 Zeile 6</t>
  </si>
  <si>
    <t>Basis = KV</t>
  </si>
  <si>
    <t>Entschädigungen/Std</t>
  </si>
  <si>
    <t>€/Std</t>
  </si>
  <si>
    <t>Betrag pro Stunde</t>
  </si>
  <si>
    <t>Zahl der Std/Wo</t>
  </si>
  <si>
    <t>Kollektivvertrag (KV):</t>
  </si>
  <si>
    <t>Rechenwert in K3</t>
  </si>
  <si>
    <t xml:space="preserve">KV-Normalarbeitszeit </t>
  </si>
  <si>
    <t>Verrech-nungsstd. pro Woche</t>
  </si>
  <si>
    <t>Zuschlag für unproduktive Zeiten</t>
  </si>
  <si>
    <t>1) Faktor (fixer Erhöhungsfaktor gem KollV auf die Basis für</t>
  </si>
  <si>
    <t>Dienstreisevergütungen und Entschädigungen (für K3 Zeilen 9 und 11)</t>
  </si>
  <si>
    <t>Erschwerniszulagen gem KV (für K3 Zeile 7)</t>
  </si>
  <si>
    <t>Arbeitszeitzuschläge (für K3 Zeile 8)</t>
  </si>
  <si>
    <t>DPNK Summe</t>
  </si>
  <si>
    <t>Normalarbeitszeit gem KollV</t>
  </si>
  <si>
    <t>Wert für weitere Berechnung</t>
  </si>
  <si>
    <t>Anteil in Prozent</t>
  </si>
  <si>
    <t>Summe Zulagen in €</t>
  </si>
  <si>
    <t>% f AKV</t>
  </si>
  <si>
    <t>Umlage-%</t>
  </si>
  <si>
    <t>A) Arbeitnehmerstruktur</t>
  </si>
  <si>
    <t>D) Arbeitszeit und Lage der Arbeitszeit</t>
  </si>
  <si>
    <t>E3) Weitere Personalnebenkosten (K3 Zeile 14)</t>
  </si>
  <si>
    <t>Unprod. Personal (Zeiten) zusätzlich zum (KZ = 1) oder vom (KZ = 0) prod. Personal?</t>
  </si>
  <si>
    <t>Personalkosten gesamt</t>
  </si>
  <si>
    <t>Personalpreis gesamt</t>
  </si>
  <si>
    <t xml:space="preserve">   Erhöhungsfaktor gem KollV</t>
  </si>
  <si>
    <t>Zulagen</t>
  </si>
  <si>
    <t>Zwischensumme C1 (Kosten pro Woche)</t>
  </si>
  <si>
    <t>Zwischensumme C2 (Kosten pro Woche)</t>
  </si>
  <si>
    <t>Zwischensumme C3 (Kosten pro Woche)</t>
  </si>
  <si>
    <t>Zwischensumme C4 (Kosten pro Woche)</t>
  </si>
  <si>
    <t>A2) Unproduktives Personal</t>
  </si>
  <si>
    <t>Unproduktives Personal</t>
  </si>
  <si>
    <t>A4) Ermittlung der Zuschläge</t>
  </si>
  <si>
    <t xml:space="preserve"> Berech-nung:</t>
  </si>
  <si>
    <t>(Anm.: Basis siehe A4)</t>
  </si>
  <si>
    <t>Summe (Kosten pro Woche)</t>
  </si>
  <si>
    <r>
      <rPr>
        <b/>
        <sz val="11"/>
        <rFont val="Calibri"/>
        <family val="2"/>
      </rPr>
      <t>∑</t>
    </r>
    <r>
      <rPr>
        <b/>
        <sz val="12.1"/>
        <rFont val="Calibri"/>
        <family val="2"/>
      </rPr>
      <t xml:space="preserve"> </t>
    </r>
    <r>
      <rPr>
        <b/>
        <sz val="11"/>
        <rFont val="Calibri"/>
        <family val="2"/>
        <scheme val="minor"/>
      </rPr>
      <t>Gesamtarbeitszeit</t>
    </r>
  </si>
  <si>
    <t>Basisfaktor</t>
  </si>
  <si>
    <t>Faktor 2</t>
  </si>
  <si>
    <t>Faktor 2 (gem KollV)</t>
  </si>
  <si>
    <t>Kenn-zeichen (KZ) setzen</t>
  </si>
  <si>
    <t>Individuelle Anpassung (+/- %-Punkte)</t>
  </si>
  <si>
    <t>Bauleitungskosten (Umlage personeller BGK)</t>
  </si>
  <si>
    <r>
      <t xml:space="preserve">eigene Ein-gabe </t>
    </r>
    <r>
      <rPr>
        <sz val="9"/>
        <rFont val="Calibri"/>
        <family val="2"/>
        <scheme val="minor"/>
      </rPr>
      <t>(über-schreibt Standard)</t>
    </r>
  </si>
  <si>
    <t>Individuelle Anpassung:</t>
  </si>
  <si>
    <t>Kalkulationswerte:</t>
  </si>
  <si>
    <r>
      <rPr>
        <i/>
        <sz val="10"/>
        <rFont val="Calibri"/>
        <family val="2"/>
      </rPr>
      <t xml:space="preserve">[Ø AKV </t>
    </r>
    <r>
      <rPr>
        <i/>
        <sz val="10"/>
        <rFont val="Calibri"/>
        <family val="2"/>
        <scheme val="minor"/>
      </rPr>
      <t>aus MLP-Kalk.:</t>
    </r>
  </si>
  <si>
    <t>R1) Beschäftigungsgruppe gem KV</t>
  </si>
  <si>
    <t>R2) Zuschläge für:</t>
  </si>
  <si>
    <t>Preisbasis gem Angebotsunterlagen</t>
  </si>
  <si>
    <t>a) Zuschlag für unproduktives Personal und Zeiten</t>
  </si>
  <si>
    <t>Individuelle Anpassung (+/- %-Punkte):</t>
  </si>
  <si>
    <t>B2) Summe Aufzahlungen für Erschwernisse in % für unproduktives Personal</t>
  </si>
  <si>
    <t>B3) Berechnung</t>
  </si>
  <si>
    <t>Aufzahlungen für Erschwernisse in produktiven Zeiten</t>
  </si>
  <si>
    <t>Aufzahlungen für Erschwernisse f unprod. Personal</t>
  </si>
  <si>
    <t>C5) Berechnung</t>
  </si>
  <si>
    <t xml:space="preserve">D1) Zusätzliche Arbeitsstunden </t>
  </si>
  <si>
    <t>Mehrarbeits-, Überstunden</t>
  </si>
  <si>
    <t>KV-Entgelt inkl. unproduktiver Zeiten</t>
  </si>
  <si>
    <t>Regiestunde</t>
  </si>
  <si>
    <t>Personalkosten gesamt (Regie)</t>
  </si>
  <si>
    <t>Unproduktive Zeiten</t>
  </si>
  <si>
    <r>
      <t>Gesamtkosten pro Woche (∑</t>
    </r>
    <r>
      <rPr>
        <sz val="12.1"/>
        <rFont val="Calibri"/>
        <family val="2"/>
      </rPr>
      <t xml:space="preserve"> C1 bis C4)</t>
    </r>
    <r>
      <rPr>
        <sz val="11"/>
        <rFont val="Calibri"/>
        <family val="2"/>
      </rPr>
      <t>:</t>
    </r>
  </si>
  <si>
    <t>Personalpreis ges. (Regie)</t>
  </si>
  <si>
    <t>UPNK 0</t>
  </si>
  <si>
    <t>UPNK 1</t>
  </si>
  <si>
    <t>UPNK 2</t>
  </si>
  <si>
    <t>UPNK 3</t>
  </si>
  <si>
    <t>1) AKV: Außer-(Über-)kollektivvertragliches Entgelt; betriebliche Durchschnittswerte</t>
  </si>
  <si>
    <t>Umlagen (K3 Zeilen 17i)</t>
  </si>
  <si>
    <t xml:space="preserve">    (kennt der KollV keine, 1,0 oder leer)</t>
  </si>
  <si>
    <t>Stammdaten Personalnebenkosten</t>
  </si>
  <si>
    <t>Gehalt</t>
  </si>
  <si>
    <t>Montage</t>
  </si>
  <si>
    <t>Projektkalkulation K3-Blatt ÖNORM B 2061:2020</t>
  </si>
  <si>
    <t>Vorfertigung</t>
  </si>
  <si>
    <t>-</t>
  </si>
  <si>
    <t>Gz UN:</t>
  </si>
  <si>
    <t>Gz AG:</t>
  </si>
  <si>
    <t xml:space="preserve">Version: </t>
  </si>
  <si>
    <t>(Umrechnung KV in Rechenwert)</t>
  </si>
  <si>
    <t xml:space="preserve">    die Berechnung der Kosten der Stunde</t>
  </si>
  <si>
    <t>C</t>
  </si>
  <si>
    <t>%-Satz auf C</t>
  </si>
  <si>
    <t>CxD/100</t>
  </si>
  <si>
    <t>C+E</t>
  </si>
  <si>
    <t>%-Satz auf F</t>
  </si>
  <si>
    <t>FxG/100</t>
  </si>
  <si>
    <t>F+H</t>
  </si>
  <si>
    <t>%-Satz auf I</t>
  </si>
  <si>
    <t>IxJ/100</t>
  </si>
  <si>
    <t>I+K</t>
  </si>
  <si>
    <t>%-Satz auf L</t>
  </si>
  <si>
    <t>LxM/100</t>
  </si>
  <si>
    <t>LxO/100</t>
  </si>
  <si>
    <t>L+N+P</t>
  </si>
  <si>
    <t>Q-100</t>
  </si>
  <si>
    <t>Wert gem KollV</t>
  </si>
  <si>
    <r>
      <t xml:space="preserve">Zuschläge in % </t>
    </r>
    <r>
      <rPr>
        <b/>
        <sz val="11"/>
        <rFont val="Calibri"/>
        <family val="2"/>
        <scheme val="minor"/>
      </rPr>
      <t>für Mehrarb. u Ü-Std.</t>
    </r>
  </si>
  <si>
    <r>
      <t>Faktor</t>
    </r>
    <r>
      <rPr>
        <b/>
        <vertAlign val="superscript"/>
        <sz val="10"/>
        <rFont val="Calibri"/>
        <family val="2"/>
        <scheme val="minor"/>
      </rPr>
      <t>1</t>
    </r>
  </si>
  <si>
    <r>
      <t xml:space="preserve">Zuschläge in % </t>
    </r>
    <r>
      <rPr>
        <b/>
        <sz val="11"/>
        <rFont val="Calibri"/>
        <family val="2"/>
        <scheme val="minor"/>
      </rPr>
      <t>f Lage d Arb.zeit</t>
    </r>
  </si>
  <si>
    <t>Wert gem Stammdaten</t>
  </si>
  <si>
    <t>Für:</t>
  </si>
  <si>
    <t>KollV-Datum:</t>
  </si>
  <si>
    <t>SV Daten vom:</t>
  </si>
  <si>
    <t>.xlsx</t>
  </si>
  <si>
    <t>R</t>
  </si>
  <si>
    <t xml:space="preserve"> = B</t>
  </si>
  <si>
    <t>Basis für die Aufzahlung ist:</t>
  </si>
  <si>
    <r>
      <t>∑</t>
    </r>
    <r>
      <rPr>
        <i/>
        <sz val="9"/>
        <rFont val="Calibri"/>
        <family val="2"/>
        <scheme val="minor"/>
      </rPr>
      <t xml:space="preserve"> B3 und B4</t>
    </r>
  </si>
  <si>
    <r>
      <rPr>
        <sz val="9"/>
        <rFont val="Calibri"/>
        <family val="2"/>
      </rPr>
      <t>∑</t>
    </r>
    <r>
      <rPr>
        <i/>
        <sz val="9"/>
        <rFont val="Calibri"/>
        <family val="2"/>
        <scheme val="minor"/>
      </rPr>
      <t xml:space="preserve"> B3 und B4</t>
    </r>
  </si>
  <si>
    <r>
      <rPr>
        <sz val="9"/>
        <rFont val="Calibri"/>
        <family val="2"/>
      </rPr>
      <t>∑</t>
    </r>
    <r>
      <rPr>
        <i/>
        <sz val="9"/>
        <rFont val="Calibri"/>
        <family val="2"/>
        <scheme val="minor"/>
      </rPr>
      <t xml:space="preserve"> B5 bis B9</t>
    </r>
  </si>
  <si>
    <r>
      <t>∑</t>
    </r>
    <r>
      <rPr>
        <i/>
        <sz val="9"/>
        <rFont val="Calibri"/>
        <family val="2"/>
        <scheme val="minor"/>
      </rPr>
      <t xml:space="preserve"> B5 bis B9</t>
    </r>
  </si>
  <si>
    <r>
      <t>∑</t>
    </r>
    <r>
      <rPr>
        <i/>
        <sz val="9"/>
        <rFont val="Calibri"/>
        <family val="2"/>
        <scheme val="minor"/>
      </rPr>
      <t xml:space="preserve"> B10 bis B14</t>
    </r>
  </si>
  <si>
    <r>
      <rPr>
        <sz val="9"/>
        <rFont val="Calibri"/>
        <family val="2"/>
        <scheme val="minor"/>
      </rPr>
      <t xml:space="preserve">∑ </t>
    </r>
    <r>
      <rPr>
        <i/>
        <sz val="9"/>
        <rFont val="Calibri"/>
        <family val="2"/>
        <scheme val="minor"/>
      </rPr>
      <t>A18 u B18</t>
    </r>
  </si>
  <si>
    <r>
      <rPr>
        <sz val="9"/>
        <rFont val="Calibri"/>
        <family val="2"/>
        <scheme val="minor"/>
      </rPr>
      <t xml:space="preserve">∑ </t>
    </r>
    <r>
      <rPr>
        <i/>
        <sz val="9"/>
        <rFont val="Calibri"/>
        <family val="2"/>
        <scheme val="minor"/>
      </rPr>
      <t>A21 u B21</t>
    </r>
  </si>
  <si>
    <r>
      <rPr>
        <sz val="9"/>
        <rFont val="Calibri"/>
        <family val="2"/>
      </rPr>
      <t xml:space="preserve">∑ </t>
    </r>
    <r>
      <rPr>
        <i/>
        <sz val="9"/>
        <rFont val="Calibri"/>
        <family val="2"/>
        <scheme val="minor"/>
      </rPr>
      <t xml:space="preserve">A18 u A20 bzw </t>
    </r>
    <r>
      <rPr>
        <sz val="9"/>
        <rFont val="Calibri"/>
        <family val="2"/>
      </rPr>
      <t xml:space="preserve">∑ </t>
    </r>
    <r>
      <rPr>
        <i/>
        <sz val="9"/>
        <rFont val="Calibri"/>
        <family val="2"/>
        <scheme val="minor"/>
      </rPr>
      <t>B18 u B20</t>
    </r>
  </si>
  <si>
    <r>
      <t xml:space="preserve">Preise </t>
    </r>
    <r>
      <rPr>
        <sz val="10"/>
        <rFont val="Calibri"/>
        <family val="2"/>
        <scheme val="minor"/>
      </rPr>
      <t>(Umlagen Spalte A bzw Personal Spalte B)</t>
    </r>
  </si>
  <si>
    <r>
      <t xml:space="preserve">Kosten </t>
    </r>
    <r>
      <rPr>
        <sz val="10"/>
        <rFont val="Calibri"/>
        <family val="2"/>
        <scheme val="minor"/>
      </rPr>
      <t>(Umlagen Spalte A bzw Personal Spalte B)</t>
    </r>
  </si>
  <si>
    <t>Proj:</t>
  </si>
  <si>
    <r>
      <rPr>
        <sz val="9"/>
        <rFont val="Calibri"/>
        <family val="2"/>
      </rPr>
      <t>∑</t>
    </r>
    <r>
      <rPr>
        <i/>
        <sz val="9"/>
        <rFont val="Calibri"/>
        <family val="2"/>
        <scheme val="minor"/>
      </rPr>
      <t xml:space="preserve"> A17i bzw </t>
    </r>
    <r>
      <rPr>
        <sz val="9"/>
        <rFont val="Calibri"/>
        <family val="2"/>
      </rPr>
      <t>∑</t>
    </r>
    <r>
      <rPr>
        <i/>
        <sz val="10.8"/>
        <rFont val="Calibri"/>
        <family val="2"/>
      </rPr>
      <t xml:space="preserve"> </t>
    </r>
    <r>
      <rPr>
        <i/>
        <sz val="9"/>
        <rFont val="Calibri"/>
        <family val="2"/>
        <scheme val="minor"/>
      </rPr>
      <t>B15 und B16</t>
    </r>
  </si>
  <si>
    <t>Kollektivvertrag:</t>
  </si>
  <si>
    <t>UPNK0 (von Mehrarbeit und Mehrlohn unabhängig)</t>
  </si>
  <si>
    <t>UPNK1 (nur von Mehrarbeit abhängig)</t>
  </si>
  <si>
    <t>UPNK2 (nur vom Mehrlohn abhängig)</t>
  </si>
  <si>
    <t>UPNK3 (von Mehrlohn und Mehrarbeit abhängig)</t>
  </si>
  <si>
    <t>Ja</t>
  </si>
  <si>
    <t>Nein</t>
  </si>
  <si>
    <t>Aufzahlung auch auf unproduktive Zeiten (A3)?</t>
  </si>
  <si>
    <t>Basis?</t>
  </si>
  <si>
    <t>1. Abminderung wg. Mehrarbeit auf Stammdaten UPNK berücksichtigen?</t>
  </si>
  <si>
    <t>2. Abminderung wg. Mehrentgelt auf Stammdaten UPNK berücksichtigen?</t>
  </si>
  <si>
    <t>Mehrarbeitsfaktor =</t>
  </si>
  <si>
    <t xml:space="preserve">Mehrlohnfaktor = </t>
  </si>
  <si>
    <t>bzw</t>
  </si>
  <si>
    <t>B1) Summe Aufzahlungen für Erschwernisse in % für produktives Personal</t>
  </si>
  <si>
    <t>C) Dienstreisevergütungen und Entschädigungen (für produktives Personal)</t>
  </si>
  <si>
    <t>KV inkl upZ</t>
  </si>
  <si>
    <t>Vor Zurech.</t>
  </si>
  <si>
    <t>Preis o Uml.</t>
  </si>
  <si>
    <t>Preis m Uml.</t>
  </si>
  <si>
    <t>Aufsicht (wenn nicht gesondert vergütungsfähig) od unproduktive, nicht verrechenbare Zeiten</t>
  </si>
  <si>
    <t>Berechnung:</t>
  </si>
  <si>
    <t>Aufzahlung</t>
  </si>
  <si>
    <t>K3 Zeile 7: Erschwerniszulagen</t>
  </si>
  <si>
    <t>Achtung: Wenn die Bezeichnungen der Stammdatenfelder geändert werden, müssen im Blatt "Projekt" die Drop-Downfelder neu ausgewählt werden!!</t>
  </si>
  <si>
    <r>
      <t xml:space="preserve">Zuschläge </t>
    </r>
    <r>
      <rPr>
        <b/>
        <sz val="11"/>
        <rFont val="Calibri"/>
        <family val="2"/>
        <scheme val="minor"/>
      </rPr>
      <t>f d Lage der Arb.zeit</t>
    </r>
  </si>
  <si>
    <t>€-Betrag/Std</t>
  </si>
  <si>
    <t>Blattname:</t>
  </si>
  <si>
    <t>K3 Zeile 9: Abgabepfl. Aufwandsentschädigungen</t>
  </si>
  <si>
    <t>K3 Zeile 13: Umgelegte Personalnebenkosten</t>
  </si>
  <si>
    <t>Projektindi-viduell über-schreibbar</t>
  </si>
  <si>
    <t>Auswahl und Sortierung der Umlagen für K3 (Maximal drei möglich!)</t>
  </si>
  <si>
    <t>Basis:</t>
  </si>
  <si>
    <t xml:space="preserve">  für:</t>
  </si>
  <si>
    <t xml:space="preserve">  Erhöhungsfaktor gem KollV</t>
  </si>
  <si>
    <t xml:space="preserve"> für:</t>
  </si>
  <si>
    <t>K3 Zeile 11: Nicht abgabepfl. Personalkosten</t>
  </si>
  <si>
    <t>Kleiner 65</t>
  </si>
  <si>
    <t>Größer 122</t>
  </si>
  <si>
    <t>nicht 90 - 97</t>
  </si>
  <si>
    <t>Noch</t>
  </si>
  <si>
    <t>Bezeichnung (Firma) Zeile 1:</t>
  </si>
  <si>
    <t>Bezeichnung (Firma) Zeile 2:</t>
  </si>
  <si>
    <t>Wichtige Hinweise</t>
  </si>
  <si>
    <t>Umzulegen</t>
  </si>
  <si>
    <t xml:space="preserve"> Basis</t>
  </si>
  <si>
    <t>Laufzeit der Lizenz bis:</t>
  </si>
  <si>
    <t>Allf. Updates finden Sie unter:</t>
  </si>
  <si>
    <t>Zur Nutzung auch neuerer Versionen, geben Sie genau die oben stehenden Eintragungen ein!</t>
  </si>
  <si>
    <t>Bestellung / Anforderung Code:</t>
  </si>
  <si>
    <t>Vorliegende Version:</t>
  </si>
  <si>
    <t>Personalkosten ohne Umlagen</t>
  </si>
  <si>
    <t>Personalkosten mit Umlage</t>
  </si>
  <si>
    <t>Personalpreis ohne Umlagen</t>
  </si>
  <si>
    <t>Personalpreis mit Umlagen</t>
  </si>
  <si>
    <t>Runden?</t>
  </si>
  <si>
    <t>Im Feld "Unternehmer" der K-Blätter erscheint:</t>
  </si>
  <si>
    <t>Zeile 1:</t>
  </si>
  <si>
    <t>Zeile 2:</t>
  </si>
  <si>
    <t>Zeile 3:</t>
  </si>
  <si>
    <t>K2a  Zuschläge für …</t>
  </si>
  <si>
    <t>Neue Basis</t>
  </si>
  <si>
    <t>kumulierende Zuschläge</t>
  </si>
  <si>
    <t>Ergebnis für den Übertrag in das K2-Blatt Spalte D</t>
  </si>
  <si>
    <t>%-Satz auf 100%</t>
  </si>
  <si>
    <t>LxQ/100</t>
  </si>
  <si>
    <t>E+H+K+N+P+R</t>
  </si>
  <si>
    <t>Zuschläge auf Basis 100%</t>
  </si>
  <si>
    <r>
      <t xml:space="preserve">Basis
</t>
    </r>
    <r>
      <rPr>
        <i/>
        <sz val="10"/>
        <color theme="1"/>
        <rFont val="Calibri"/>
        <family val="2"/>
        <scheme val="minor"/>
      </rPr>
      <t>(= 100%)</t>
    </r>
  </si>
  <si>
    <t>Zuschlag für:</t>
  </si>
  <si>
    <t>Hinweise siehe unten!</t>
  </si>
  <si>
    <t>Versionen</t>
  </si>
  <si>
    <t>Ihre Lizenznummer (Code):</t>
  </si>
  <si>
    <t>Anleitung siehe:</t>
  </si>
  <si>
    <t>Sie verwenden eine Konzern-, Filial- bzw Beraterlizenz und können Zeile 2 und 3 (Angabe des Unternehmens im Kopf der K-Blätter) frei bezeichnen:</t>
  </si>
  <si>
    <t>a4</t>
  </si>
  <si>
    <t>b4</t>
  </si>
  <si>
    <t>KollV f 4</t>
  </si>
  <si>
    <t>a5</t>
  </si>
  <si>
    <t>b5</t>
  </si>
  <si>
    <t>KollV f 5</t>
  </si>
  <si>
    <t>Endgültiges OK?</t>
  </si>
  <si>
    <r>
      <t xml:space="preserve">Diverse Warnhinweise bei fehlenden Eingaben
</t>
    </r>
    <r>
      <rPr>
        <i/>
        <sz val="9"/>
        <rFont val="Calibri"/>
        <family val="2"/>
        <scheme val="minor"/>
      </rPr>
      <t>(Bitte überzeugen Sie sich, welche Quelldaten zur Übernahme in die Stammdaten ausgewählt sind (Blatt Stammdaten - rechts oben). Lesen Sie die Kurzbeschreibung im Blatt "Lizenz u lies mich".)</t>
    </r>
  </si>
  <si>
    <t>Kommerzielle Verwendung A4</t>
  </si>
  <si>
    <t>Kommerzielle Verwendung A5</t>
  </si>
  <si>
    <t>Tx: Stammdaten</t>
  </si>
  <si>
    <t>Richtig</t>
  </si>
  <si>
    <t>Tx : Projekt</t>
  </si>
  <si>
    <t>KollV</t>
  </si>
  <si>
    <t>Tx: K-Blatt</t>
  </si>
  <si>
    <t>Code richtig</t>
  </si>
  <si>
    <t>Code Falsch</t>
  </si>
  <si>
    <t>r004</t>
  </si>
  <si>
    <t>r005</t>
  </si>
  <si>
    <t>f004</t>
  </si>
  <si>
    <t>f005</t>
  </si>
  <si>
    <t>Abfrage falsche Endung</t>
  </si>
  <si>
    <t>Ersatz richtige Endung</t>
  </si>
  <si>
    <t>Datum</t>
  </si>
  <si>
    <t>h023</t>
  </si>
  <si>
    <t>Code:</t>
  </si>
  <si>
    <t>Verband (&gt;1):</t>
  </si>
  <si>
    <t>KollV-Tx1</t>
  </si>
  <si>
    <t>KollV-Tx2</t>
  </si>
  <si>
    <t>KollV-Tx3</t>
  </si>
  <si>
    <t>KollV-Tx4</t>
  </si>
  <si>
    <t>KollV-Tx5</t>
  </si>
  <si>
    <t>Facharbeiter</t>
  </si>
  <si>
    <t>Bauhilf</t>
  </si>
  <si>
    <t>Feuer</t>
  </si>
  <si>
    <t>KollV-Tx6</t>
  </si>
  <si>
    <t>Bauarbeiter</t>
  </si>
  <si>
    <t>Vier-1</t>
  </si>
  <si>
    <t>Fünf-1</t>
  </si>
  <si>
    <t>Vier-2</t>
  </si>
  <si>
    <t>Vier-3</t>
  </si>
  <si>
    <t>Vier-4</t>
  </si>
  <si>
    <t>Vier-5</t>
  </si>
  <si>
    <t>Vier-6</t>
  </si>
  <si>
    <t>Fünf-2</t>
  </si>
  <si>
    <t>Fünf-3</t>
  </si>
  <si>
    <t>Fünf-4</t>
  </si>
  <si>
    <t>Fünf-5</t>
  </si>
  <si>
    <t>Fünf-6</t>
  </si>
  <si>
    <t>KollV Zeit</t>
  </si>
  <si>
    <t>KollV-Zeit</t>
  </si>
  <si>
    <t>Faktor:</t>
  </si>
  <si>
    <t>Summe1</t>
  </si>
  <si>
    <t>Summe2 (_PrüfKV)</t>
  </si>
  <si>
    <t>Vier-7</t>
  </si>
  <si>
    <t>Fünf-7</t>
  </si>
  <si>
    <t>Schorn</t>
  </si>
  <si>
    <t>Rohrleger</t>
  </si>
  <si>
    <t>Arbeitszeit (+5 / -10)</t>
  </si>
  <si>
    <t>Sie nutzen eine generelle Verbandslizenz, rufen aber offenbar einen nicht zutreffenden KollV als Stammdaten aus der Quelldatei ab. Möglicherweise verwenden Sie auch nur nicht vorgesehene Bezeichnungen der KV-Beschäftigungsgruppen. Bitte verwenden Sie die vom Verband zur Verfügung gestellte Quelldatei mit allen KV-Gruppen.</t>
  </si>
  <si>
    <t>Baugewerbe</t>
  </si>
  <si>
    <t>Text in KV Bezeichnung</t>
  </si>
  <si>
    <t>Text in KV-Gruppen</t>
  </si>
  <si>
    <t>1) Ist die Partiezusammenstellung plausibel?</t>
  </si>
  <si>
    <t>3) Ist der aktuelle, zum Zeitpunkt des Endes der Angebotsfrist, KollV der Kalkulation zugrunde gelegt?</t>
  </si>
  <si>
    <t>2) Ist der richtige und zutreffende KollV ausgewählt und verwendet?</t>
  </si>
  <si>
    <t>4) Sind alle Erschwerniszulagen die bei der Projektabwicklung anfallen werden anteilig berücksichtigt?</t>
  </si>
  <si>
    <t>5) Sind die DIREKTEN PERSONALNEBENKOSTEN in zutreffender Höhe erfasst?</t>
  </si>
  <si>
    <t>Kalkulationsreport (K3-Blatt Kontrolle)</t>
  </si>
  <si>
    <t>Vor Abgabe des K3-Blattes ist jedenfalls das K3-Blatt noch individuell zu kontrollieren!</t>
  </si>
  <si>
    <t>Standardmäßig bitte folgendes prüfen:</t>
  </si>
  <si>
    <t>Regiepersonalpreis 4</t>
  </si>
  <si>
    <t>Regiepersonalpreis 3</t>
  </si>
  <si>
    <t>Regiepersonalpreis 2</t>
  </si>
  <si>
    <t>Regiepersonalpreis 1</t>
  </si>
  <si>
    <t>Ihre Notizen:</t>
  </si>
  <si>
    <t>Hier können Sie ihre Anmerkungen eintragen …</t>
  </si>
  <si>
    <t>Ihre Notizen</t>
  </si>
  <si>
    <t>KollV f Bauindustrie und Baugewerbe (Arbeiter)</t>
  </si>
  <si>
    <t>KollV-Abfrage</t>
  </si>
  <si>
    <t>n204</t>
  </si>
  <si>
    <t>Basis für die weiteren Zuschläge</t>
  </si>
  <si>
    <t>Zuschlag für (auf 100%):</t>
  </si>
  <si>
    <t>Zuschlagsträger 
(wird vom K2-Blatt übertragen)</t>
  </si>
  <si>
    <t>Basis
(= 100%)</t>
  </si>
  <si>
    <t>Kennzeichen</t>
  </si>
  <si>
    <t>Produktives Personal</t>
  </si>
  <si>
    <t>B) Aufzahlung für Erschwernisse (Zulagen)</t>
  </si>
  <si>
    <t xml:space="preserve">   Personalverrechnung, -management</t>
  </si>
  <si>
    <t xml:space="preserve">   Ausrüstung mit EDV, Software udgl.</t>
  </si>
  <si>
    <t xml:space="preserve">  Firmenfahrzeuge und Betrieb</t>
  </si>
  <si>
    <t xml:space="preserve">  Werkzeug, Kleingerüst u -gerät, Messinstrumente</t>
  </si>
  <si>
    <t xml:space="preserve">  Allgemeine Umlage für Neben-(Klein-)Material</t>
  </si>
  <si>
    <t xml:space="preserve">  Erhöhte Arbeitssicherheit (besondere PSA)</t>
  </si>
  <si>
    <t xml:space="preserve">  Sonstige allgemeine Baustellenkosten</t>
  </si>
  <si>
    <t>a) Summe unternehmensbezogene Personalgemeinkosten</t>
  </si>
  <si>
    <t>b) Summe projektbezogene Personalgemeinkosten</t>
  </si>
  <si>
    <t>Oder im Detail:</t>
  </si>
  <si>
    <t>Weitere Kostenumlagen für:</t>
  </si>
  <si>
    <r>
      <rPr>
        <i/>
        <sz val="10"/>
        <rFont val="Calibri"/>
        <family val="2"/>
      </rPr>
      <t xml:space="preserve">Ø AKV in % </t>
    </r>
    <r>
      <rPr>
        <i/>
        <sz val="10"/>
        <rFont val="Calibri"/>
        <family val="2"/>
        <scheme val="minor"/>
      </rPr>
      <t>aus Personalpreis-Kalkulation:</t>
    </r>
  </si>
  <si>
    <r>
      <t xml:space="preserve">   </t>
    </r>
    <r>
      <rPr>
        <b/>
        <sz val="11"/>
        <rFont val="Calibri"/>
        <family val="2"/>
        <scheme val="minor"/>
      </rPr>
      <t>a)</t>
    </r>
    <r>
      <rPr>
        <sz val="11"/>
        <rFont val="Calibri"/>
        <family val="2"/>
        <scheme val="minor"/>
      </rPr>
      <t xml:space="preserve"> als Mehrarbeitsstunde? </t>
    </r>
    <r>
      <rPr>
        <i/>
        <sz val="11"/>
        <rFont val="Calibri"/>
        <family val="2"/>
        <scheme val="minor"/>
      </rPr>
      <t>(Ja: KZ=1; Nein: KZ=0)</t>
    </r>
  </si>
  <si>
    <r>
      <t xml:space="preserve">  </t>
    </r>
    <r>
      <rPr>
        <b/>
        <sz val="11"/>
        <rFont val="Calibri"/>
        <family val="2"/>
        <scheme val="minor"/>
      </rPr>
      <t xml:space="preserve">b) </t>
    </r>
    <r>
      <rPr>
        <sz val="11"/>
        <rFont val="Calibri"/>
        <family val="2"/>
        <scheme val="minor"/>
      </rPr>
      <t xml:space="preserve">als Verrechnungsstunde (%)? </t>
    </r>
    <r>
      <rPr>
        <i/>
        <sz val="11"/>
        <rFont val="Calibri"/>
        <family val="2"/>
        <scheme val="minor"/>
      </rPr>
      <t>(Ja: KZ=1, Nein: 0)</t>
    </r>
  </si>
  <si>
    <r>
      <t xml:space="preserve"> </t>
    </r>
    <r>
      <rPr>
        <b/>
        <sz val="11"/>
        <rFont val="Calibri"/>
        <family val="2"/>
        <scheme val="minor"/>
      </rPr>
      <t xml:space="preserve">c) </t>
    </r>
    <r>
      <rPr>
        <sz val="11"/>
        <rFont val="Calibri"/>
        <family val="2"/>
        <scheme val="minor"/>
      </rPr>
      <t xml:space="preserve">als Verrechnungsstunde (€)? </t>
    </r>
    <r>
      <rPr>
        <i/>
        <sz val="11"/>
        <rFont val="Calibri"/>
        <family val="2"/>
        <scheme val="minor"/>
      </rPr>
      <t>(Ja: KZ=1, Nein:0)</t>
    </r>
  </si>
  <si>
    <r>
      <t xml:space="preserve">  Basis ist? Siehe Pkt D u wähle </t>
    </r>
    <r>
      <rPr>
        <b/>
        <sz val="11"/>
        <color theme="5" tint="-0.249977111117893"/>
        <rFont val="Calibri"/>
        <family val="2"/>
        <scheme val="minor"/>
      </rPr>
      <t>KZ 1</t>
    </r>
    <r>
      <rPr>
        <sz val="11"/>
        <rFont val="Calibri"/>
        <family val="2"/>
        <scheme val="minor"/>
      </rPr>
      <t xml:space="preserve"> bis </t>
    </r>
    <r>
      <rPr>
        <b/>
        <sz val="11"/>
        <color theme="5" tint="-0.249977111117893"/>
        <rFont val="Calibri"/>
        <family val="2"/>
        <scheme val="minor"/>
      </rPr>
      <t>4</t>
    </r>
  </si>
  <si>
    <t xml:space="preserve">Bitte die Bezeichnungen für die Freischaltung (Zeile 1, Zeile 2 und Code) genau eingeben (Groß- und Kleinbuchstaben, Leer- und Sonderzeichen beachten)!
</t>
  </si>
  <si>
    <t>Anspruch für … Tage/Wo</t>
  </si>
  <si>
    <t xml:space="preserve"> pro Woche</t>
  </si>
  <si>
    <t>Anzahl der Stunden pro Woche</t>
  </si>
  <si>
    <t>Aufzahlung für die Stunde in €</t>
  </si>
  <si>
    <t>Aufzahlung für die Stunde in %</t>
  </si>
  <si>
    <t xml:space="preserve">   2b.  "Mehrentgelt" sind nur die Arbeitszeitzuschläge?</t>
  </si>
  <si>
    <t>Lizenziert für:</t>
  </si>
  <si>
    <r>
      <rPr>
        <b/>
        <sz val="12"/>
        <color rgb="FFFF0000"/>
        <rFont val="Calibri"/>
        <family val="2"/>
        <scheme val="minor"/>
      </rPr>
      <t xml:space="preserve">Version 2.3.0 (18.08.2020): </t>
    </r>
    <r>
      <rPr>
        <sz val="12"/>
        <rFont val="Calibri"/>
        <family val="2"/>
        <scheme val="minor"/>
      </rPr>
      <t>Behebung diverser Tippfehler und sprachliche Überarbeitung.</t>
    </r>
  </si>
  <si>
    <t>H184</t>
  </si>
  <si>
    <t>x441</t>
  </si>
  <si>
    <t xml:space="preserve">  Arbeitskleidung, Arbeitssicherheit udgl.</t>
  </si>
  <si>
    <t>Für die Dauer der im Blatt LIZENZ U LIES MICH angegebenen Laufzeit haben die Bundesinnung Bau und die Landesinnungen Bau die Nutzung des K3-Kalkulationstools für ihre Mitgliedsbetriebe erworben. Eine kommerzielle Nutzung dieser Lizenz ist ausschließlich  Mitgliedsbetrieben dieser Verbände gestattet!</t>
  </si>
  <si>
    <t>Eine kommerzielle Verwendung dieses Ausdrucks ist ausschließlich Mitgliedsbetrieben der Bundesinnung bzw der Landesinnungen Bau gestattet.</t>
  </si>
  <si>
    <t xml:space="preserve">Quelldatei (Datei aus der die Stammdaten (grüner Reiter) dieser Datei gespeist werden)
Allgemeine, immer wieder verwendete Daten, werden in der Quelldatei abgelegt. Ausgeliefert mit dem Dateinamen K3_QuelleJJJJ (JJJJ steht für das aktuelle Jahr; zur Zeit 2020). Der Dateiname kann geändert werden (keine Sonder- oder Leerzeichen). Im ersten Blatt werden die Direkten Personalnebenkosten eingegeben (Empfehlung: Dateiname enthält den Stand der DPNK; vorliegend 2020). In den weiteren Blättern finden sich die Stammdaten einiger Kollektivverträge. Diese Blätter lassen sich beliebig kopieren oder löschen und der Blattname lässt sich ändern. Sie können mehrere Tabellenblätter anlegen (Name ohne Leer- und Sonderzeichen mit Ausnahme "_"!). 
Für einige Branchen finden sich bereits Tabellenblätter mit wesentlichen Eintragungen (da auch unternehmensspezifische Werte verwendet werden, bitte anpassen: zB Überzahlung oder Kosten der wöchentlichen Heimfahrt). Empfehlung: Löschen Sie die Blätter mit den nicht benötigten Kollektivverträgen (Mauszeiger auf den Dateiblattreiter bewegen und rechte Maustaste drücken). Ändert sich zB der KollV, kopieren Sie das Blatt mit den Daten des alten KollV und ändern die Stammdaten. Nennen Sie das neue Blatt dann zB: Baugewerbe_2021.
</t>
  </si>
  <si>
    <r>
      <rPr>
        <b/>
        <sz val="12"/>
        <rFont val="Calibri"/>
        <family val="2"/>
        <scheme val="minor"/>
      </rPr>
      <t>Projekt bearbeiten (gelber Reiter)</t>
    </r>
    <r>
      <rPr>
        <sz val="12"/>
        <rFont val="Calibri"/>
        <family val="2"/>
        <scheme val="minor"/>
      </rPr>
      <t xml:space="preserve">
Gehen Sie auf den gelben Reiter "Projekt" und befüllen Sie die ausfüllbaren Felder. Arbeiten Sie die Tabelle von oben nach unten durch. Vergessen Sie nicht, sich zunächst mit den Quelldaten zu verbinden (im Blatt Stammdaten, rechts oben). Anderenfalls erhalten Sie Fehlermeldungen.
Viele Felder sind mit Kommentaren versehen, bei unplausiblen Eingaben erfolgt eine Warnung. Bei unmöglichen Eingaben erfolgt ein Stopp, verbunden mit der Aufforderung einen zutreffenden Wert einzugeben. Rechts von der Tabelle erscheinen in roter Schrift zT Warnhinweise, wenn unschlüssige Eingaben vorliegen. Gegebenenfalls erscheint erst dann ein Endwert (Personalpreis) bis alle Eingaben vollständig vorgenommen sind. 
Die Daten für den Gesamtzuschlag geben Sie im Blatt "K2" (grauer Reiter) ein. Jene Zeilen die Sie im "Blatt K2" befüllen, können Sie auch im Blatt "Projekt" auswählen. Sie können im Rahmen der vorliegenden Kalkulation theoretisch sechs GZ verarbeiten (für den Mittelpersonalpreis, für Regie1 bis Regie 4 und für die Umlagen (K3 Spalte A).  
Fachliche Informationen zur Kalkulation finden Sie im Buch </t>
    </r>
    <r>
      <rPr>
        <b/>
        <i/>
        <sz val="12"/>
        <rFont val="Calibri"/>
        <family val="2"/>
        <scheme val="minor"/>
      </rPr>
      <t>Kropik: Baukalkulation, Kostenrechnung und ÖNORM B 2061</t>
    </r>
    <r>
      <rPr>
        <sz val="12"/>
        <rFont val="Calibri"/>
        <family val="2"/>
        <scheme val="minor"/>
      </rPr>
      <t>.</t>
    </r>
  </si>
  <si>
    <r>
      <rPr>
        <b/>
        <sz val="12"/>
        <color rgb="FFFF0000"/>
        <rFont val="Calibri"/>
        <family val="2"/>
        <scheme val="minor"/>
      </rPr>
      <t>Version 2.1 (2.5.2020)</t>
    </r>
    <r>
      <rPr>
        <sz val="12"/>
        <rFont val="Calibri"/>
        <family val="2"/>
        <scheme val="minor"/>
      </rPr>
      <t xml:space="preserve">
Es ist der </t>
    </r>
    <r>
      <rPr>
        <sz val="12"/>
        <color rgb="FFFF0000"/>
        <rFont val="Calibri"/>
        <family val="2"/>
        <scheme val="minor"/>
      </rPr>
      <t>Bezug einer Konzern-, Filial- bzw Beraterlizenz</t>
    </r>
    <r>
      <rPr>
        <sz val="12"/>
        <rFont val="Calibri"/>
        <family val="2"/>
        <scheme val="minor"/>
      </rPr>
      <t xml:space="preserve"> möglich. Bei Vorliegen dieser Lizenz ist in den K-Blättern  nur die erste Zeile fixiert, die zweite und dritte Zeile kann jeweils beliebig variiert werden (im Blatt Projekt).
In der </t>
    </r>
    <r>
      <rPr>
        <sz val="12"/>
        <color rgb="FFFF0000"/>
        <rFont val="Calibri"/>
        <family val="2"/>
        <scheme val="minor"/>
      </rPr>
      <t>Regiekalkulation</t>
    </r>
    <r>
      <rPr>
        <sz val="12"/>
        <rFont val="Calibri"/>
        <family val="2"/>
        <scheme val="minor"/>
      </rPr>
      <t xml:space="preserve"> werden die </t>
    </r>
    <r>
      <rPr>
        <sz val="12"/>
        <color rgb="FFFF0000"/>
        <rFont val="Calibri"/>
        <family val="2"/>
        <scheme val="minor"/>
      </rPr>
      <t>umgelegten Personalkosten</t>
    </r>
    <r>
      <rPr>
        <sz val="12"/>
        <rFont val="Calibri"/>
        <family val="2"/>
        <scheme val="minor"/>
      </rPr>
      <t xml:space="preserve"> aus der vorherigen Mittelpersonalpreiskalkulation übernommen. Der errechnete Wert für die UPNK kann individuell noch angepasst werden. Bislang wurde der unangepasste Wert, ab Ver 2.1 wird der angepasste Wert in die Regiekalkulation übernommen.
Der angeführte Verweis auf die Zeilennummern des K3-Blatts für abgabepflichtige und nicht abgabepflichtige Personalkosten ist im Blatt Projekt  richtig gestellt.
Werden in den Stammdaten (grüner Reiter) die aus der Quelldatei übernommenen Werte noch individuell geändert, erscheint im Blatt Projekt mit einem roten X eine Warnung.
Allgemeiner Hinweis: Ein rotes </t>
    </r>
    <r>
      <rPr>
        <b/>
        <sz val="14"/>
        <color rgb="FFFF0000"/>
        <rFont val="Calibri"/>
        <family val="2"/>
        <scheme val="minor"/>
      </rPr>
      <t>X</t>
    </r>
    <r>
      <rPr>
        <sz val="12"/>
        <rFont val="Calibri"/>
        <family val="2"/>
        <scheme val="minor"/>
      </rPr>
      <t xml:space="preserve"> am rechten Farbrahmen der Kalkulation (Blatt Projekt) zeigt an, dass eine individuelle Eingabe das Rechenergebnis verändert. 
Das K2-Blatt sieht in Spalte D einen Zuschlag für ... vor. Dieser kann mehrere Komponenten beinhalten. Die Berechnung des Zuschlags für Zeile D des K2-Blattes erfolgt im K2a-Blatt.</t>
    </r>
  </si>
  <si>
    <r>
      <t xml:space="preserve">Projektbezeichnung:
</t>
    </r>
    <r>
      <rPr>
        <i/>
        <sz val="10"/>
        <rFont val="Calibri"/>
        <family val="2"/>
        <scheme val="minor"/>
      </rPr>
      <t>(erscheint im Kopf der K-Blätter)</t>
    </r>
  </si>
  <si>
    <r>
      <t xml:space="preserve">Kalkuliert wird:
</t>
    </r>
    <r>
      <rPr>
        <i/>
        <sz val="10"/>
        <rFont val="Calibri"/>
        <family val="2"/>
        <scheme val="minor"/>
      </rPr>
      <t>(bitte auswählen)</t>
    </r>
  </si>
  <si>
    <t>Daher durchschnittliche Baustellenbesetzung:</t>
  </si>
  <si>
    <r>
      <t xml:space="preserve">B1) Zulagen für produktiv tätiges Personal
</t>
    </r>
    <r>
      <rPr>
        <i/>
        <sz val="9"/>
        <rFont val="Calibri"/>
        <family val="2"/>
        <scheme val="minor"/>
      </rPr>
      <t>(Durchschnittsbetrachtung)</t>
    </r>
  </si>
  <si>
    <t>Zulagen in EURO (€)</t>
  </si>
  <si>
    <t>Zulagen in Prozent (%)</t>
  </si>
  <si>
    <t>in € gem KollV</t>
  </si>
  <si>
    <t>in %  gem KollV</t>
  </si>
  <si>
    <r>
      <t xml:space="preserve">C1) Entschädigungen in Euro (€) pro Stunde
</t>
    </r>
    <r>
      <rPr>
        <sz val="11"/>
        <rFont val="Calibri"/>
        <family val="2"/>
        <scheme val="minor"/>
      </rPr>
      <t>(zB Montagezulage)</t>
    </r>
  </si>
  <si>
    <r>
      <t xml:space="preserve">C3) Dienstreisevergütungen in Euro pro Woche                                                     </t>
    </r>
    <r>
      <rPr>
        <sz val="11"/>
        <rFont val="Calibri"/>
        <family val="2"/>
        <scheme val="minor"/>
      </rPr>
      <t>(zB Heimfahrten)</t>
    </r>
  </si>
  <si>
    <r>
      <t>Stundenlohn-Basis ist KV-Entgelt (</t>
    </r>
    <r>
      <rPr>
        <b/>
        <sz val="11"/>
        <color theme="5" tint="-0.249977111117893"/>
        <rFont val="Calibri"/>
        <family val="2"/>
        <scheme val="minor"/>
      </rPr>
      <t>KZ=1</t>
    </r>
    <r>
      <rPr>
        <sz val="11"/>
        <rFont val="Calibri"/>
        <family val="2"/>
        <scheme val="minor"/>
      </rPr>
      <t>) oder KV + AKV (</t>
    </r>
    <r>
      <rPr>
        <b/>
        <sz val="11"/>
        <color theme="5" tint="-0.249977111117893"/>
        <rFont val="Calibri"/>
        <family val="2"/>
        <scheme val="minor"/>
      </rPr>
      <t>KZ = 2</t>
    </r>
    <r>
      <rPr>
        <sz val="11"/>
        <rFont val="Calibri"/>
        <family val="2"/>
        <scheme val="minor"/>
      </rPr>
      <t>)</t>
    </r>
  </si>
  <si>
    <r>
      <t>% von Sundenlohn-Basis (</t>
    </r>
    <r>
      <rPr>
        <sz val="10"/>
        <rFont val="Calibri"/>
        <family val="2"/>
        <scheme val="minor"/>
      </rPr>
      <t>gemäß Feld rechts)</t>
    </r>
  </si>
  <si>
    <t>Basis ist</t>
  </si>
  <si>
    <t>b)  Zu- od Abschlag auf abgabefrei /-pflichtig (€/Wo)</t>
  </si>
  <si>
    <r>
      <t xml:space="preserve">1) KV-Entgelt x Faktor gem KollV: </t>
    </r>
    <r>
      <rPr>
        <b/>
        <i/>
        <sz val="11"/>
        <color theme="5" tint="-0.249977111117893"/>
        <rFont val="Calibri"/>
        <family val="2"/>
        <scheme val="minor"/>
      </rPr>
      <t>KZ = 1</t>
    </r>
  </si>
  <si>
    <r>
      <t xml:space="preserve">2) (KV- + AKV-Entgelt) x Faktor gem KollV: </t>
    </r>
    <r>
      <rPr>
        <b/>
        <i/>
        <sz val="11"/>
        <color theme="5" tint="-0.249977111117893"/>
        <rFont val="Calibri"/>
        <family val="2"/>
        <scheme val="minor"/>
      </rPr>
      <t>KZ = 2</t>
    </r>
  </si>
  <si>
    <r>
      <t xml:space="preserve">3) (KV + AKV + Zulagen) x Faktor gem KV: </t>
    </r>
    <r>
      <rPr>
        <b/>
        <i/>
        <sz val="11"/>
        <color theme="5" tint="-0.249977111117893"/>
        <rFont val="Calibri"/>
        <family val="2"/>
        <scheme val="minor"/>
      </rPr>
      <t>KZ = 3</t>
    </r>
  </si>
  <si>
    <r>
      <t xml:space="preserve">4) (KV + AKV + Zulagen) x 1,00: </t>
    </r>
    <r>
      <rPr>
        <b/>
        <i/>
        <sz val="11"/>
        <color theme="5" tint="-0.249977111117893"/>
        <rFont val="Calibri"/>
        <family val="2"/>
        <scheme val="minor"/>
      </rPr>
      <t>KZ = 4</t>
    </r>
  </si>
  <si>
    <t>D3) Verrechnungsstunden mit Aufzahlung in Euro</t>
  </si>
  <si>
    <r>
      <rPr>
        <b/>
        <sz val="11"/>
        <rFont val="Calibri"/>
        <family val="2"/>
        <scheme val="minor"/>
      </rPr>
      <t>E1) Direkte Personalnebenkosten</t>
    </r>
    <r>
      <rPr>
        <sz val="11"/>
        <rFont val="Calibri"/>
        <family val="2"/>
        <scheme val="minor"/>
      </rPr>
      <t xml:space="preserve"> (gem Stammdaten)</t>
    </r>
  </si>
  <si>
    <r>
      <t xml:space="preserve">Parameter für die ggf notwendige </t>
    </r>
    <r>
      <rPr>
        <b/>
        <sz val="11"/>
        <rFont val="Calibri"/>
        <family val="2"/>
        <scheme val="minor"/>
      </rPr>
      <t>Anpassung der UPNK</t>
    </r>
  </si>
  <si>
    <t>Errechnung der angepassten UPNK</t>
  </si>
  <si>
    <t>Zusammenfassung der oben aktivierten Umlagen</t>
  </si>
  <si>
    <t>Durchschnittliche kalkulierte "Regiebesetzung":</t>
  </si>
  <si>
    <t>MSE-Zuschläge</t>
  </si>
  <si>
    <t>Sondererstattungen pflichtig</t>
  </si>
  <si>
    <t>Sondererstattungen frei</t>
  </si>
  <si>
    <t>unproduktive Zeiten</t>
  </si>
  <si>
    <t>Personalnebenkosten</t>
  </si>
  <si>
    <t>Personalkosten vor Zurechnung</t>
  </si>
  <si>
    <t>GZ auf Personalkosten</t>
  </si>
  <si>
    <t>GZ auf Umlagen</t>
  </si>
  <si>
    <t>Gesamtsumme</t>
  </si>
  <si>
    <t>Kalkulierte Anzahl prod. Pers.</t>
  </si>
  <si>
    <t>KV / AKV-Entgelt produktiv</t>
  </si>
  <si>
    <t>KV / AKV-Entgelt unproduktiv</t>
  </si>
  <si>
    <t>poduktives Personal</t>
  </si>
  <si>
    <t>unproduktives Personal</t>
  </si>
  <si>
    <t>Entgelt pro Stunde pflichtig</t>
  </si>
  <si>
    <t>Summe Entgelt pro Stunde</t>
  </si>
  <si>
    <t>Deckung Personalgemeinkosten</t>
  </si>
  <si>
    <t>Umlagen ohne GZ</t>
  </si>
  <si>
    <t>Gesamtzuschlag</t>
  </si>
  <si>
    <t>Kontrollrechnung; gem K3.Blatt:</t>
  </si>
  <si>
    <t>pro Partiestunde</t>
  </si>
  <si>
    <t>KV-Entgelt produktiv Tätige</t>
  </si>
  <si>
    <t>Weitere Personalkosten produktiv</t>
  </si>
  <si>
    <t>Auswertung</t>
  </si>
  <si>
    <t>Zusammenstellung der Kostenbestandteile</t>
  </si>
  <si>
    <t>pro produktivem Mitarbeiter u Stunde</t>
  </si>
  <si>
    <t>A1) Produktives Personal</t>
  </si>
  <si>
    <r>
      <t>A3) Unproduktive Zeiten</t>
    </r>
    <r>
      <rPr>
        <sz val="11"/>
        <rFont val="Calibri"/>
        <family val="2"/>
        <scheme val="minor"/>
      </rPr>
      <t xml:space="preserve"> (upZ) des produktiven Personals</t>
    </r>
  </si>
  <si>
    <r>
      <t>Summe</t>
    </r>
    <r>
      <rPr>
        <sz val="11"/>
        <rFont val="Calibri"/>
        <family val="2"/>
        <scheme val="minor"/>
      </rPr>
      <t xml:space="preserve"> (Kosten/Woche)</t>
    </r>
  </si>
  <si>
    <r>
      <t xml:space="preserve">E2) Umgelegte Personalnebenkosten </t>
    </r>
    <r>
      <rPr>
        <sz val="11"/>
        <rFont val="Calibri"/>
        <family val="2"/>
        <scheme val="minor"/>
      </rPr>
      <t>(gem Stammdaten)</t>
    </r>
  </si>
  <si>
    <r>
      <rPr>
        <b/>
        <sz val="12"/>
        <color rgb="FFFF0000"/>
        <rFont val="Calibri"/>
        <family val="2"/>
        <scheme val="minor"/>
      </rPr>
      <t xml:space="preserve">Version 2.2.0 (14.8.2020): </t>
    </r>
    <r>
      <rPr>
        <sz val="12"/>
        <rFont val="Calibri"/>
        <family val="2"/>
        <scheme val="minor"/>
      </rPr>
      <t xml:space="preserve">
Diese Version kann auch ohne Eingabe von Lizenzdaten für </t>
    </r>
    <r>
      <rPr>
        <b/>
        <sz val="12"/>
        <rFont val="Calibri"/>
        <family val="2"/>
        <scheme val="minor"/>
      </rPr>
      <t>Testzwecke</t>
    </r>
    <r>
      <rPr>
        <sz val="12"/>
        <rFont val="Calibri"/>
        <family val="2"/>
        <scheme val="minor"/>
      </rPr>
      <t xml:space="preserve"> verwendet werden (Achtung Aufrundung und Ausblendungen (Schwärzung) in den K-Blättern).
</t>
    </r>
    <r>
      <rPr>
        <b/>
        <sz val="12"/>
        <rFont val="Calibri"/>
        <family val="2"/>
        <scheme val="minor"/>
      </rPr>
      <t>Änderungen</t>
    </r>
    <r>
      <rPr>
        <sz val="12"/>
        <rFont val="Calibri"/>
        <family val="2"/>
        <scheme val="minor"/>
      </rPr>
      <t xml:space="preserve">: Der Ausgleich bzw die Anpassung bei den (nicht) abgabepflichtigen Entgeltbestandteilen erfolgt nun in Euro (statt in %). Das ist übersichtlicher. 
Behoben ist ein geringfügiger Verknüpfungsfehler bei den "weiteren Personalnebenkosten", Teil Kosten pro Woche (zB U-Bahn Steuer). 
Die Spaltenbreite der Formulare lässt sich anpassen. Diverse kleine Details (zB Kommentare) sind verbessert.
Diese Version enthält weiters Adaptierungen um sie für eine Verwendung mit einer </t>
    </r>
    <r>
      <rPr>
        <b/>
        <sz val="12"/>
        <color rgb="FFFF0000"/>
        <rFont val="Calibri"/>
        <family val="2"/>
        <scheme val="minor"/>
      </rPr>
      <t>Universallizenzierung</t>
    </r>
    <r>
      <rPr>
        <sz val="12"/>
        <color rgb="FFFF0000"/>
        <rFont val="Calibri"/>
        <family val="2"/>
        <scheme val="minor"/>
      </rPr>
      <t xml:space="preserve"> eines Verbandes</t>
    </r>
    <r>
      <rPr>
        <sz val="12"/>
        <rFont val="Calibri"/>
        <family val="2"/>
        <scheme val="minor"/>
      </rPr>
      <t xml:space="preserve"> verwenden zu können. Mitglieder dieses Verbandes dürfen das Kalkulationstool i</t>
    </r>
    <r>
      <rPr>
        <sz val="12"/>
        <color rgb="FFFF0000"/>
        <rFont val="Calibri"/>
        <family val="2"/>
        <scheme val="minor"/>
      </rPr>
      <t xml:space="preserve">n Verbindung mit dem der Branche zugehörigen Kollektivvertrag </t>
    </r>
    <r>
      <rPr>
        <sz val="12"/>
        <rFont val="Calibri"/>
        <family val="2"/>
        <scheme val="minor"/>
      </rPr>
      <t xml:space="preserve">nutzen. Die Verwendung der mitgelieferten und zugehörigen Quelldatei ist daher empfehlenswert. Nach zeitlichem Ablauf der Verbandslizenzierung ist die weitere Verwendung mit individuellen Zugangsdaten (Lizenzierung) ohne  Einschränkungen weiterhin möglich.
Die </t>
    </r>
    <r>
      <rPr>
        <b/>
        <sz val="12"/>
        <color rgb="FFFF0000"/>
        <rFont val="Calibri"/>
        <family val="2"/>
        <scheme val="minor"/>
      </rPr>
      <t>Bundesinnung Bau (Landesinnungen  Bau)</t>
    </r>
    <r>
      <rPr>
        <sz val="12"/>
        <rFont val="Calibri"/>
        <family val="2"/>
        <scheme val="minor"/>
      </rPr>
      <t xml:space="preserve"> hat eine Lizenz für ihre Mitgliedsbetriebe erworben. Die Lizenz benötigt die Version 2.2.0 oder später erscheinende höhere Versionen.</t>
    </r>
  </si>
  <si>
    <t>Aktivierungscode "qwert99"</t>
  </si>
  <si>
    <t>siehe K2a-Blatt</t>
  </si>
  <si>
    <r>
      <rPr>
        <b/>
        <sz val="12"/>
        <rFont val="Calibri"/>
        <family val="2"/>
        <scheme val="minor"/>
      </rPr>
      <t>Allgemeine Information</t>
    </r>
    <r>
      <rPr>
        <sz val="12"/>
        <rFont val="Calibri"/>
        <family val="2"/>
        <scheme val="minor"/>
      </rPr>
      <t xml:space="preserve">
</t>
    </r>
    <r>
      <rPr>
        <b/>
        <sz val="12"/>
        <rFont val="Calibri"/>
        <family val="2"/>
        <scheme val="minor"/>
      </rPr>
      <t xml:space="preserve">Diese Datei </t>
    </r>
    <r>
      <rPr>
        <sz val="12"/>
        <rFont val="Calibri"/>
        <family val="2"/>
        <scheme val="minor"/>
      </rPr>
      <t xml:space="preserve">ist die </t>
    </r>
    <r>
      <rPr>
        <b/>
        <sz val="12"/>
        <rFont val="Calibri"/>
        <family val="2"/>
        <scheme val="minor"/>
      </rPr>
      <t xml:space="preserve">Hauptdatei - </t>
    </r>
    <r>
      <rPr>
        <sz val="12"/>
        <rFont val="Calibri"/>
        <family val="2"/>
        <scheme val="minor"/>
      </rPr>
      <t>das</t>
    </r>
    <r>
      <rPr>
        <b/>
        <sz val="12"/>
        <rFont val="Calibri"/>
        <family val="2"/>
        <scheme val="minor"/>
      </rPr>
      <t xml:space="preserve"> eigentliche Kalkulationstool - </t>
    </r>
    <r>
      <rPr>
        <sz val="12"/>
        <rFont val="Calibri"/>
        <family val="2"/>
        <scheme val="minor"/>
      </rPr>
      <t xml:space="preserve">(ausgeliefert mit dem Dateinamen: </t>
    </r>
    <r>
      <rPr>
        <b/>
        <i/>
        <sz val="12"/>
        <rFont val="Calibri"/>
        <family val="2"/>
        <scheme val="minor"/>
      </rPr>
      <t xml:space="preserve">K3_Kalk_nnn; </t>
    </r>
    <r>
      <rPr>
        <i/>
        <sz val="12"/>
        <rFont val="Calibri"/>
        <family val="2"/>
        <scheme val="minor"/>
      </rPr>
      <t>nnn steht für die Bezeichnung der Branche, für die bereits eine Grundkalkulation vorliegt</t>
    </r>
    <r>
      <rPr>
        <sz val="12"/>
        <rFont val="Calibri"/>
        <family val="2"/>
        <scheme val="minor"/>
      </rPr>
      <t>). Sie können die Datei beliebig oft kopieren bzw umbenennen (zB nach Ihren Projekten). Sie können die Kalkulationsdatei auch mit den Stammdaten anderer Branchen, als den beispielhaft vorkalkulierten verwenden.
Um ungewollte Eingriffe zu verhindern sind die Blätter und die Struktur der Arbeitsmappe geschützt und daher nicht veränderbar.</t>
    </r>
    <r>
      <rPr>
        <b/>
        <sz val="12"/>
        <rFont val="Calibri"/>
        <family val="2"/>
        <scheme val="minor"/>
      </rPr>
      <t xml:space="preserve"> 
Grau hinterlegte Felder</t>
    </r>
    <r>
      <rPr>
        <sz val="12"/>
        <rFont val="Calibri"/>
        <family val="2"/>
        <scheme val="minor"/>
      </rPr>
      <t xml:space="preserve"> sind Eingabefelder. Im Wesentlichen handelt es sich um Drop-Down-Felder, um Felder zur Eingabe projektspezifischer Anteile bzw Ansätze  bzw um das Setzen von Kennzeichen. Rot hinterlegte Kennzeichenfelder deuten darauf hin, dass die Wahl des KZ vom KollV abhängt (etwa ob als Basis einer Aufzahlung das KV-Entgelt oder KV + AKV-Entgelt heranzuziehen ist).
Sie können alle Tabellen ausdrucken.
 Im </t>
    </r>
    <r>
      <rPr>
        <b/>
        <sz val="12"/>
        <rFont val="Calibri"/>
        <family val="2"/>
        <scheme val="minor"/>
      </rPr>
      <t>Blatt "Projekt" (gelber Reiter)</t>
    </r>
    <r>
      <rPr>
        <sz val="12"/>
        <rFont val="Calibri"/>
        <family val="2"/>
        <scheme val="minor"/>
      </rPr>
      <t xml:space="preserve"> erfolgen die Berechnungsschritte. Grau hinterlegte Felder sind Eingabefelder. In den restlichen Feldern werden Ihnen Zwischenergebnisse angezeigt. Diese werden in die K3-Blätter übertragen. Sie können einen Mittelpersonalpreis (K3 2020 MLP) und vier Regiepreise (K3 Regie1 bis K3 Regie4) generieren.
Sie greifen auf </t>
    </r>
    <r>
      <rPr>
        <b/>
        <sz val="12"/>
        <rFont val="Calibri"/>
        <family val="2"/>
        <scheme val="minor"/>
      </rPr>
      <t>Stammdaten</t>
    </r>
    <r>
      <rPr>
        <sz val="12"/>
        <rFont val="Calibri"/>
        <family val="2"/>
        <scheme val="minor"/>
      </rPr>
      <t xml:space="preserve"> zurück (Kollektivvertrag, Sozialversicherungswerte aber auch eigene Werte). Diese sind im Blatt "Stammdaten" (grüner Reiter) dargestellt. Die Daten werden von einer </t>
    </r>
    <r>
      <rPr>
        <b/>
        <sz val="12"/>
        <rFont val="Calibri"/>
        <family val="2"/>
        <scheme val="minor"/>
      </rPr>
      <t>Quelldatei</t>
    </r>
    <r>
      <rPr>
        <sz val="12"/>
        <rFont val="Calibri"/>
        <family val="2"/>
        <scheme val="minor"/>
      </rPr>
      <t xml:space="preserve"> (Dateiname zB </t>
    </r>
    <r>
      <rPr>
        <i/>
        <sz val="12"/>
        <rFont val="Calibri"/>
        <family val="2"/>
        <scheme val="minor"/>
      </rPr>
      <t>K3_Quelle2020</t>
    </r>
    <r>
      <rPr>
        <sz val="12"/>
        <rFont val="Calibri"/>
        <family val="2"/>
        <scheme val="minor"/>
      </rPr>
      <t xml:space="preserve">) übernommen. Name der Quelldatei und Tabellenblatt, welches Sie aus dieser Datei verwenden wollen, müssen Sie im Blatt "Stammdaten" rechts oben festlegen. Die </t>
    </r>
    <r>
      <rPr>
        <b/>
        <sz val="12"/>
        <rFont val="Calibri"/>
        <family val="2"/>
        <scheme val="minor"/>
      </rPr>
      <t xml:space="preserve">Quelldatei MUSS für die Verwendung des Kalklationstools geöffnet </t>
    </r>
    <r>
      <rPr>
        <sz val="12"/>
        <rFont val="Calibri"/>
        <family val="2"/>
        <scheme val="minor"/>
      </rPr>
      <t>sein!</t>
    </r>
  </si>
  <si>
    <r>
      <rPr>
        <b/>
        <sz val="12"/>
        <color rgb="FFFF0000"/>
        <rFont val="Calibri"/>
        <family val="2"/>
        <scheme val="minor"/>
      </rPr>
      <t xml:space="preserve">Version 2.4.0 (24.08.2020): </t>
    </r>
    <r>
      <rPr>
        <sz val="12"/>
        <rFont val="Calibri"/>
        <family val="2"/>
        <scheme val="minor"/>
      </rPr>
      <t>Überarbeitung der Bezeichmungen im Blatt "Projekt". Statistische Auswertung des Personalpreises im Blatt "Report".</t>
    </r>
  </si>
  <si>
    <r>
      <rPr>
        <b/>
        <sz val="12"/>
        <color rgb="FFFF0000"/>
        <rFont val="Calibri"/>
        <family val="2"/>
        <scheme val="minor"/>
      </rPr>
      <t>Version 2.5.0 (12.10.2020):</t>
    </r>
    <r>
      <rPr>
        <sz val="12"/>
        <rFont val="Calibri"/>
        <family val="2"/>
        <scheme val="minor"/>
      </rPr>
      <t xml:space="preserve"> Fehlerkorrektur beim Übertrag der unteren 3 Zeilen der KV-Beschäftigungsgruppen gem Blatt "Projekt" in das K3-Blatt. Sind nicht mehr als 7 Beschäftigungsgruppen angelegt worden, war dieser Fehler in den Versionen bis 2.4 unbedeutend!
Die nicht in das K3-Blatt ordnungsgemäß verknüpfte Zeilen sind nachfolgend rot dargestellt.</t>
    </r>
  </si>
  <si>
    <t>Betrag in €/Woche und Mitarbeiter:</t>
  </si>
  <si>
    <t>Anpassung (+/-)</t>
  </si>
  <si>
    <r>
      <t>Basis f Zulage in % ist KV-Entgelt (</t>
    </r>
    <r>
      <rPr>
        <b/>
        <sz val="11"/>
        <color theme="9" tint="-0.249977111117893"/>
        <rFont val="Calibri"/>
        <family val="2"/>
        <scheme val="minor"/>
      </rPr>
      <t>KZ=1</t>
    </r>
    <r>
      <rPr>
        <b/>
        <sz val="11"/>
        <color theme="5" tint="-0.249977111117893"/>
        <rFont val="Calibri"/>
        <family val="2"/>
        <scheme val="minor"/>
      </rPr>
      <t xml:space="preserve">) od </t>
    </r>
    <r>
      <rPr>
        <sz val="11"/>
        <rFont val="Calibri"/>
        <family val="2"/>
        <scheme val="minor"/>
      </rPr>
      <t>KV+AKV-Entg. (</t>
    </r>
    <r>
      <rPr>
        <b/>
        <sz val="11"/>
        <color theme="9" tint="-0.249977111117893"/>
        <rFont val="Calibri"/>
        <family val="2"/>
        <scheme val="minor"/>
      </rPr>
      <t>KZ=2</t>
    </r>
    <r>
      <rPr>
        <sz val="11"/>
        <rFont val="Calibri"/>
        <family val="2"/>
        <scheme val="minor"/>
      </rPr>
      <t>):</t>
    </r>
  </si>
  <si>
    <r>
      <t>Unproduktives Personal zusätzlich zum (</t>
    </r>
    <r>
      <rPr>
        <b/>
        <sz val="11"/>
        <color theme="0" tint="-0.499984740745262"/>
        <rFont val="Calibri"/>
        <family val="2"/>
        <scheme val="minor"/>
      </rPr>
      <t>KZ = 1</t>
    </r>
    <r>
      <rPr>
        <sz val="11"/>
        <rFont val="Calibri"/>
        <family val="2"/>
        <scheme val="minor"/>
      </rPr>
      <t>) oder vom (</t>
    </r>
    <r>
      <rPr>
        <b/>
        <sz val="11"/>
        <color theme="0" tint="-0.499984740745262"/>
        <rFont val="Calibri"/>
        <family val="2"/>
        <scheme val="minor"/>
      </rPr>
      <t>KZ = 0</t>
    </r>
    <r>
      <rPr>
        <sz val="11"/>
        <rFont val="Calibri"/>
        <family val="2"/>
        <scheme val="minor"/>
      </rPr>
      <t>) prod. Personal?</t>
    </r>
  </si>
  <si>
    <r>
      <t>gewichtet</t>
    </r>
    <r>
      <rPr>
        <sz val="8"/>
        <rFont val="Calibri"/>
        <family val="2"/>
        <scheme val="minor"/>
      </rPr>
      <t xml:space="preserve"> (nach Spalte A u B)</t>
    </r>
  </si>
  <si>
    <t>% v Personalko. (K3-Zeile 15)</t>
  </si>
  <si>
    <r>
      <t xml:space="preserve">Wenn Sie eine Lizenz </t>
    </r>
    <r>
      <rPr>
        <b/>
        <sz val="12"/>
        <rFont val="Calibri"/>
        <family val="2"/>
        <scheme val="minor"/>
      </rPr>
      <t>erwerben</t>
    </r>
    <r>
      <rPr>
        <sz val="12"/>
        <rFont val="Calibri"/>
        <family val="2"/>
        <scheme val="minor"/>
      </rPr>
      <t xml:space="preserve"> oder eine bestehende</t>
    </r>
    <r>
      <rPr>
        <b/>
        <sz val="12"/>
        <rFont val="Calibri"/>
        <family val="2"/>
        <scheme val="minor"/>
      </rPr>
      <t xml:space="preserve"> Lizenz verlängern</t>
    </r>
    <r>
      <rPr>
        <sz val="12"/>
        <rFont val="Calibri"/>
        <family val="2"/>
        <scheme val="minor"/>
      </rPr>
      <t xml:space="preserve"> möchten:</t>
    </r>
  </si>
  <si>
    <r>
      <t>upZ</t>
    </r>
    <r>
      <rPr>
        <sz val="8"/>
        <rFont val="Calibri"/>
        <family val="2"/>
        <scheme val="minor"/>
      </rPr>
      <t xml:space="preserve"> (in % der bezahlten Zeit)</t>
    </r>
  </si>
  <si>
    <t>Aufschlag auf die erlös-bringende Zeit</t>
  </si>
  <si>
    <t>unprod. "Köpfe"</t>
  </si>
  <si>
    <t>% f unprod. Zeiten</t>
  </si>
  <si>
    <r>
      <rPr>
        <sz val="11"/>
        <color theme="0" tint="-0.499984740745262"/>
        <rFont val="Calibri"/>
        <family val="2"/>
      </rPr>
      <t>∑</t>
    </r>
    <r>
      <rPr>
        <sz val="11"/>
        <color theme="0" tint="-0.499984740745262"/>
        <rFont val="Calibri"/>
        <family val="2"/>
        <scheme val="minor"/>
      </rPr>
      <t>KV/Std</t>
    </r>
  </si>
  <si>
    <r>
      <rPr>
        <sz val="11"/>
        <color theme="0" tint="-0.499984740745262"/>
        <rFont val="Calibri"/>
        <family val="2"/>
      </rPr>
      <t>∑</t>
    </r>
    <r>
      <rPr>
        <sz val="11"/>
        <color theme="0" tint="-0.499984740745262"/>
        <rFont val="Calibri"/>
        <family val="2"/>
        <scheme val="minor"/>
      </rPr>
      <t>AKV/Std</t>
    </r>
  </si>
  <si>
    <t>C4) Wegzeitvergütung außerhalb der Arbeitszeit</t>
  </si>
  <si>
    <r>
      <t xml:space="preserve">C4a) </t>
    </r>
    <r>
      <rPr>
        <sz val="11"/>
        <rFont val="Calibri"/>
        <family val="2"/>
        <scheme val="minor"/>
      </rPr>
      <t>Basis Stundenlohn</t>
    </r>
  </si>
  <si>
    <r>
      <t xml:space="preserve">C4b) </t>
    </r>
    <r>
      <rPr>
        <sz val="11"/>
        <rFont val="Calibri"/>
        <family val="2"/>
        <scheme val="minor"/>
      </rPr>
      <t>Sonstiges</t>
    </r>
  </si>
  <si>
    <t xml:space="preserve">    Unproduktive Zeiten (A2 und A3):</t>
  </si>
  <si>
    <r>
      <t xml:space="preserve">KZ für die Basis der Aufzahlung </t>
    </r>
    <r>
      <rPr>
        <sz val="9"/>
        <rFont val="Calibri"/>
        <family val="2"/>
        <scheme val="minor"/>
      </rPr>
      <t xml:space="preserve">(KZ = </t>
    </r>
    <r>
      <rPr>
        <i/>
        <sz val="9"/>
        <rFont val="Calibri"/>
        <family val="2"/>
        <scheme val="minor"/>
      </rPr>
      <t>1, 2,3 od 4)</t>
    </r>
  </si>
  <si>
    <t>KZ für die Basis der Aufzahlung</t>
  </si>
  <si>
    <t>Basis: KV-Entgelt produktiv</t>
  </si>
  <si>
    <r>
      <t xml:space="preserve">Umrech-nung </t>
    </r>
    <r>
      <rPr>
        <i/>
        <sz val="9"/>
        <rFont val="Calibri"/>
        <family val="2"/>
        <scheme val="minor"/>
      </rPr>
      <t>(in % vom KV-Entgelt)</t>
    </r>
  </si>
  <si>
    <t>Individuelle Anpassung (+/- %):</t>
  </si>
  <si>
    <t>Bezugsgröße:</t>
  </si>
  <si>
    <t>Personalgemeinkosten (PGK)</t>
  </si>
  <si>
    <t>daher PGK</t>
  </si>
  <si>
    <t>Anzeigen?</t>
  </si>
  <si>
    <r>
      <t xml:space="preserve">b) Kosten </t>
    </r>
    <r>
      <rPr>
        <b/>
        <sz val="9"/>
        <rFont val="Calibri"/>
        <family val="2"/>
        <scheme val="minor"/>
      </rPr>
      <t>je Woche</t>
    </r>
    <r>
      <rPr>
        <sz val="9"/>
        <rFont val="Calibri"/>
        <family val="2"/>
        <scheme val="minor"/>
      </rPr>
      <t xml:space="preserve"> gesamt:</t>
    </r>
  </si>
  <si>
    <r>
      <t>Basis</t>
    </r>
    <r>
      <rPr>
        <vertAlign val="superscript"/>
        <sz val="9"/>
        <rFont val="Calibri"/>
        <family val="2"/>
        <scheme val="minor"/>
      </rPr>
      <t>2)</t>
    </r>
  </si>
  <si>
    <t>Bitte besuchen Sie für aktuelle Informationen regelmäßig:</t>
  </si>
  <si>
    <t xml:space="preserve">Standardmäßig ist f alle Berechnungen "Genauigkeit wie angezeigt" eingestellt. In EXL kann im Menüpunkt "Datei" (links oben) und weiter  "Optionen" und danach im Blatt "Erweitert", ziemlich weit unten, "Genauigkeit wie angezeigt" ausgeschaltet werden. </t>
  </si>
  <si>
    <r>
      <t xml:space="preserve">Sie verwenden eine von der Bundesinnung Bau für einen befristeten Zeitraum (bis 30.9.2021)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</si>
  <si>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r>
      <t xml:space="preserve">Sie verwenden eine von der Bundesinnung Bau für einen befristeten Zeitraum (bis 30.9.2022) zur Verfügung gestellte Lizenz. Die kommerzielle Verwendung dieser Lizenz ist </t>
    </r>
    <r>
      <rPr>
        <b/>
        <sz val="12"/>
        <color theme="0"/>
        <rFont val="Calibri"/>
        <family val="2"/>
        <scheme val="minor"/>
      </rPr>
      <t>ausschließlich</t>
    </r>
    <r>
      <rPr>
        <sz val="12"/>
        <color theme="0"/>
        <rFont val="Calibri"/>
        <family val="2"/>
        <scheme val="minor"/>
      </rPr>
      <t xml:space="preserve"> Mitgliedsbetrieben der Bundesinnung Bau / der Landesinnungen Bau unter der Verwendung des KollV für das Baugewerbe gestattet. Sie können Ihren Firmennamen in den nachfolgenden Zeilen eintragen:</t>
    </r>
  </si>
  <si>
    <t>Regiepartie</t>
  </si>
  <si>
    <t>Anz.</t>
  </si>
  <si>
    <t>Gesamt</t>
  </si>
  <si>
    <t>Gesamtes kollektivvertragliches Entgelt</t>
  </si>
  <si>
    <t>Personalkosten gesamt (Regie): Durchschnitt / gesamte Partie</t>
  </si>
  <si>
    <t>Regiepersonalpreis 5 - "Regiepartie"</t>
  </si>
  <si>
    <t>Regielpartie:</t>
  </si>
  <si>
    <t>Personalpreis gesamt (Regie): Durchschnitt / gesamte Partie</t>
  </si>
  <si>
    <t>1) Hinweis: Basis ist die Wochenarbeitszeit mal Personalkosten vor Zurechnung.</t>
  </si>
  <si>
    <t>2) Hinweis: Basis ist die Wochenarbeitszeit mal Personalkosten vor Zurechnung und Anzahl produktives Personal.</t>
  </si>
  <si>
    <t xml:space="preserve">Bezeichnung (Produktionsfaktor-Nr.): </t>
  </si>
  <si>
    <t>Zuschlag auf KV-Lohn:</t>
  </si>
  <si>
    <t>I) Ergebnisdarstellung und fakultatives Runden</t>
  </si>
  <si>
    <t>© Univ.-Prof. A. Kropik
www.bauwesen.at/k3</t>
  </si>
  <si>
    <t>© Univ.-Prof. A. Kropik
www.bauwesen.at/k3</t>
  </si>
  <si>
    <t>Hilfestellung bei der Justierung des GZ. Aktueller Personalpreis gesamt (K3):</t>
  </si>
  <si>
    <t>Vers. 3.0</t>
  </si>
  <si>
    <t>Kosten für</t>
  </si>
  <si>
    <t>- Umlagen</t>
  </si>
  <si>
    <t>- Personal</t>
  </si>
  <si>
    <t>Personalpreis</t>
  </si>
  <si>
    <t>Hilfestellung für die Justierung des GZ:</t>
  </si>
  <si>
    <t>Personalpreis (K3):</t>
  </si>
  <si>
    <t>GZ gem K2:</t>
  </si>
  <si>
    <t>Kalkulierte Wochenarbeitszeit:</t>
  </si>
  <si>
    <t>B2) Zulagen für produktives Personal</t>
  </si>
  <si>
    <t>I.1) Ergebnis im K3-Blatt auch in €/Minute anzeigen?</t>
  </si>
  <si>
    <t>I. 3) Runden</t>
  </si>
  <si>
    <t>© Univ.-Prof. A. Kropik
bauwesen.at/k3</t>
  </si>
  <si>
    <t>a) Kosten/Wo u Arbeitnehmer:</t>
  </si>
  <si>
    <t>a1)</t>
  </si>
  <si>
    <t>a2)</t>
  </si>
  <si>
    <r>
      <t>Basis</t>
    </r>
    <r>
      <rPr>
        <vertAlign val="superscript"/>
        <sz val="9"/>
        <rFont val="Calibri"/>
        <family val="2"/>
        <scheme val="minor"/>
      </rPr>
      <t>1)</t>
    </r>
    <r>
      <rPr>
        <sz val="9"/>
        <rFont val="Calibri"/>
        <family val="2"/>
        <scheme val="minor"/>
      </rPr>
      <t>:</t>
    </r>
  </si>
  <si>
    <t>Unproduktiv:</t>
  </si>
  <si>
    <t>Diverses Kleinmaterial</t>
  </si>
  <si>
    <t>Erbringung besonderer Nebenleistungen</t>
  </si>
  <si>
    <t>von a1):</t>
  </si>
  <si>
    <t>von a2):</t>
  </si>
  <si>
    <t>von b1):</t>
  </si>
  <si>
    <t>von b2):</t>
  </si>
  <si>
    <t>b1)</t>
  </si>
  <si>
    <t>b2)</t>
  </si>
  <si>
    <t>Rechner für die Ermittlung projektbezogener PGK - Übertrag in a1) bis b2)</t>
  </si>
  <si>
    <r>
      <rPr>
        <b/>
        <sz val="11"/>
        <rFont val="Calibri"/>
        <family val="2"/>
        <scheme val="minor"/>
      </rPr>
      <t xml:space="preserve">Unternehmer:
</t>
    </r>
    <r>
      <rPr>
        <i/>
        <sz val="9"/>
        <rFont val="Calibri"/>
        <family val="2"/>
        <scheme val="minor"/>
      </rPr>
      <t>(Diese allgemeinen Angaben
 erscheinen im Kopf der K-Blätter)</t>
    </r>
  </si>
  <si>
    <r>
      <t xml:space="preserve">C2) Dienstreisevergütungen in Euro pro Tag
</t>
    </r>
    <r>
      <rPr>
        <sz val="11"/>
        <rFont val="Calibri"/>
        <family val="2"/>
        <scheme val="minor"/>
      </rPr>
      <t>(zB Taggeld, Entfernungszulage odgl)</t>
    </r>
  </si>
  <si>
    <r>
      <t>Basis für %-Zulage (KV-Entgelt (</t>
    </r>
    <r>
      <rPr>
        <b/>
        <sz val="11"/>
        <color rgb="FFEF9A8F"/>
        <rFont val="Calibri"/>
        <family val="2"/>
        <scheme val="minor"/>
      </rPr>
      <t>KZ=1</t>
    </r>
    <r>
      <rPr>
        <sz val="11"/>
        <rFont val="Calibri"/>
        <family val="2"/>
        <scheme val="minor"/>
      </rPr>
      <t>) / KV+AKV-E. (</t>
    </r>
    <r>
      <rPr>
        <b/>
        <sz val="11"/>
        <color rgb="FFEF9A8F"/>
        <rFont val="Calibri"/>
        <family val="2"/>
        <scheme val="minor"/>
      </rPr>
      <t>KZ=2</t>
    </r>
    <r>
      <rPr>
        <sz val="11"/>
        <rFont val="Calibri"/>
        <family val="2"/>
        <scheme val="minor"/>
      </rPr>
      <t>)):</t>
    </r>
  </si>
  <si>
    <t>Fahrtkosten (Mannschaftsbus)</t>
  </si>
  <si>
    <t>Verrechnungsstd. pro Tag:</t>
  </si>
  <si>
    <t>Anspruch für … Tage pro Woche</t>
  </si>
  <si>
    <t>… % der Mitarbeiter erhalten</t>
  </si>
  <si>
    <t>… % der Mit-arbeiter mit Anspruch</t>
  </si>
  <si>
    <t>… % der prod. Mit-arbeiter erhalten</t>
  </si>
  <si>
    <t>… % der Arbeit-nehmer</t>
  </si>
  <si>
    <t>mit … % Anspruchs-dauer</t>
  </si>
  <si>
    <t>Ergebnis als
% auf KV-Entgelt</t>
  </si>
  <si>
    <t>E) Personalnebenkosten (Direkte / Umgelegte / Weitere PNK)</t>
  </si>
  <si>
    <t xml:space="preserve">   2a. "Mehrentgelt" ist Differenz zwischen abgabepfl. PK zu KV-Entgelt?</t>
  </si>
  <si>
    <t>Berechnung für Abgabe in €/Woche:</t>
  </si>
  <si>
    <t>Hinzurechnung Ausfallzeiten in %</t>
  </si>
  <si>
    <t xml:space="preserve">Umlage für: </t>
  </si>
  <si>
    <t>Umlage für: BGK</t>
  </si>
  <si>
    <t>Kostenträger gem K2:</t>
  </si>
  <si>
    <t>(Gesamtzuschlag im K2-Blatt eingeben)</t>
  </si>
  <si>
    <t>Verknüpfung mit Dateiname:</t>
  </si>
  <si>
    <t>Verknüpfung mit Blattname:</t>
  </si>
  <si>
    <t>Die Stammdaten werden in einer eigenen Datei eingetragen und von dort übernommen. Adaptierbare Muster/Vorlage siehe www.bauwesen.at/k3.</t>
  </si>
  <si>
    <t>Übernahme der Stammdaten aus:</t>
  </si>
  <si>
    <t>F) Hinzurechnung - Personalgemeinkosten</t>
  </si>
  <si>
    <t>Quicklinks:</t>
  </si>
  <si>
    <r>
      <t xml:space="preserve">G) Hinzurechnungen - Kostenumlagen </t>
    </r>
    <r>
      <rPr>
        <sz val="14"/>
        <rFont val="Calibri"/>
        <family val="2"/>
        <scheme val="minor"/>
      </rPr>
      <t>(für K3 Zeile 17)</t>
    </r>
  </si>
  <si>
    <t>H) Hinzurechnung - Gesamtzuschlag</t>
  </si>
  <si>
    <t>I.2) K3-Blätter wie ÖNORM, jedoch mit %-Angaben anzeigen?</t>
  </si>
  <si>
    <r>
      <t xml:space="preserve">B2a) Zulagen wie beim produktivem Personal, daher übernehmen? </t>
    </r>
    <r>
      <rPr>
        <i/>
        <sz val="11"/>
        <rFont val="Calibri"/>
        <family val="2"/>
        <scheme val="minor"/>
      </rPr>
      <t>(Ja/Nein)</t>
    </r>
  </si>
  <si>
    <t>D2) Verrechnungs-stunden mit Aufzahlung in %</t>
  </si>
  <si>
    <t>Höhe der Abgabe pro Woche und Mitarbeiter</t>
  </si>
  <si>
    <t>Kosten je Woche und produktiven Mitarbeiter</t>
  </si>
  <si>
    <t>Umlagebetrag in € (Hinweis: ohne GZ):</t>
  </si>
  <si>
    <t>Kalkulierte Anzahl der produktiven Std.:</t>
  </si>
  <si>
    <r>
      <t xml:space="preserve">Die nachfolgenden vier Kalkulationen (Regie 1 bis 4) stehen für die </t>
    </r>
    <r>
      <rPr>
        <b/>
        <sz val="11"/>
        <rFont val="Calibri"/>
        <family val="2"/>
        <scheme val="minor"/>
      </rPr>
      <t xml:space="preserve">Kalkulation von Regielöhne und -gehälter </t>
    </r>
    <r>
      <rPr>
        <sz val="11"/>
        <rFont val="Calibri"/>
        <family val="2"/>
        <scheme val="minor"/>
      </rPr>
      <t xml:space="preserve">(je nach Eingabe in der Mittelpersonalpreiskalkulation) zur Verfügung. Die 5 Kalkulation ist für eine </t>
    </r>
    <r>
      <rPr>
        <b/>
        <sz val="11"/>
        <rFont val="Calibri"/>
        <family val="2"/>
        <scheme val="minor"/>
      </rPr>
      <t>Regiepartie</t>
    </r>
    <r>
      <rPr>
        <sz val="11"/>
        <rFont val="Calibri"/>
        <family val="2"/>
        <scheme val="minor"/>
      </rPr>
      <t xml:space="preserve"> gedacht. Vorteilhaft ist es, zunächst die Mittelpersonalpreiskalkulation zu erstellen und danach die Regiekalkulation. Sie greift auf die in der Mittelpersonalpreiskalkulation ermittelten Werte zurück (die selbstverständlich änderbar sind). Unter R2 a) bis c) können auch besondere Arbeitszeiten (zB Überstunde in Regie) erfasst werden. Die Rahmenfarben korrespondieren mit den Farben der K3-Tabellenblätter.</t>
    </r>
  </si>
  <si>
    <t>Zusammenstellung Personalpreis K3 (ohne allfälliger Rundung):</t>
  </si>
  <si>
    <t>(3.0: 28.12.2021)</t>
  </si>
  <si>
    <r>
      <rPr>
        <b/>
        <sz val="12"/>
        <color rgb="FFFF0000"/>
        <rFont val="Calibri"/>
        <family val="2"/>
        <scheme val="minor"/>
      </rPr>
      <t xml:space="preserve">Version 2.6.3 (25.10.2021): </t>
    </r>
    <r>
      <rPr>
        <sz val="12"/>
        <rFont val="Calibri"/>
        <family val="2"/>
        <scheme val="minor"/>
      </rPr>
      <t xml:space="preserve">Automatisierung der Berechnung von C4 (Wegzeitvergütung) im Blatt "Projekt". Diverse geringe Korrekturen. In F </t>
    </r>
    <r>
      <rPr>
        <b/>
        <sz val="12"/>
        <rFont val="Calibri"/>
        <family val="2"/>
        <scheme val="minor"/>
      </rPr>
      <t>(Personalgemeinkosten) ist ein Hilfsrechner</t>
    </r>
    <r>
      <rPr>
        <sz val="12"/>
        <rFont val="Calibri"/>
        <family val="2"/>
        <scheme val="minor"/>
      </rPr>
      <t xml:space="preserve"> integriert. Damit lassen sich Prozentsätze leicht bestimmen die dann in der Berechnung weitere Verwendung finden können. Das 5 Regieblatt (neu) ist für die </t>
    </r>
    <r>
      <rPr>
        <b/>
        <sz val="12"/>
        <rFont val="Calibri"/>
        <family val="2"/>
        <scheme val="minor"/>
      </rPr>
      <t>Kalkulatione einer Regiepartie</t>
    </r>
    <r>
      <rPr>
        <sz val="12"/>
        <rFont val="Calibri"/>
        <family val="2"/>
        <scheme val="minor"/>
      </rPr>
      <t xml:space="preserve"> vorgesehen. Ergänzungen bei den Kommentaren. Gesamtzuschlag und Personalgemeinkosten sind mit </t>
    </r>
    <r>
      <rPr>
        <b/>
        <sz val="12"/>
        <rFont val="Calibri"/>
        <family val="2"/>
        <scheme val="minor"/>
      </rPr>
      <t>3 Stellen nach dem Komma</t>
    </r>
    <r>
      <rPr>
        <sz val="12"/>
        <rFont val="Calibri"/>
        <family val="2"/>
        <scheme val="minor"/>
      </rPr>
      <t xml:space="preserve"> angegeben (damit lässt sich das Kalkulationsergebnis centgenau justieren). Bei den </t>
    </r>
    <r>
      <rPr>
        <b/>
        <sz val="12"/>
        <rFont val="Calibri"/>
        <family val="2"/>
        <scheme val="minor"/>
      </rPr>
      <t>K2-Blättern lassen sich die Spaltenbreiten</t>
    </r>
    <r>
      <rPr>
        <sz val="12"/>
        <rFont val="Calibri"/>
        <family val="2"/>
        <scheme val="minor"/>
      </rPr>
      <t xml:space="preserve"> verändern. Bei Regiekalkulation 4 ist ein Verknüpfungsfehler bei R2 c) behoben (Rückgriff auf ein unzutreffendes K3 Regieblatt). Weiters sind </t>
    </r>
    <r>
      <rPr>
        <b/>
        <sz val="12"/>
        <rFont val="Calibri"/>
        <family val="2"/>
        <scheme val="minor"/>
      </rPr>
      <t>Links</t>
    </r>
    <r>
      <rPr>
        <sz val="12"/>
        <rFont val="Calibri"/>
        <family val="2"/>
        <scheme val="minor"/>
      </rPr>
      <t xml:space="preserve"> zu den einzelnen Kapiteln innerhalb des Blattes 'Projekt' geschaffen. </t>
    </r>
  </si>
  <si>
    <r>
      <rPr>
        <b/>
        <sz val="12"/>
        <color rgb="FFFF0000"/>
        <rFont val="Calibri"/>
        <family val="2"/>
        <scheme val="minor"/>
      </rPr>
      <t>Version 3.0 (28.12.2021):</t>
    </r>
    <r>
      <rPr>
        <sz val="12"/>
        <rFont val="Calibri"/>
        <family val="2"/>
        <scheme val="minor"/>
      </rPr>
      <t xml:space="preserve"> Möglichkeit, den Mittellohnpreis auch </t>
    </r>
    <r>
      <rPr>
        <b/>
        <sz val="12"/>
        <rFont val="Calibri"/>
        <family val="2"/>
        <scheme val="minor"/>
      </rPr>
      <t>in € pro Minute</t>
    </r>
    <r>
      <rPr>
        <sz val="12"/>
        <rFont val="Calibri"/>
        <family val="2"/>
        <scheme val="minor"/>
      </rPr>
      <t xml:space="preserve"> anzugeben. Weiters besteht auch die Möglichkeit die im Orignal-K3-Blatt der ÖNORM nicht vorgesehene %-Angaben auszublenden. (Kennzeichen für beiden Optionen im Blatt "Projekt" Pkt I.) 
Bei den </t>
    </r>
    <r>
      <rPr>
        <b/>
        <sz val="12"/>
        <rFont val="Calibri"/>
        <family val="2"/>
        <scheme val="minor"/>
      </rPr>
      <t>Regiekalkulationen</t>
    </r>
    <r>
      <rPr>
        <sz val="12"/>
        <rFont val="Calibri"/>
        <family val="2"/>
        <scheme val="minor"/>
      </rPr>
      <t xml:space="preserve"> ist auch der jeweilige </t>
    </r>
    <r>
      <rPr>
        <b/>
        <sz val="12"/>
        <rFont val="Calibri"/>
        <family val="2"/>
        <scheme val="minor"/>
      </rPr>
      <t>Aufschlag in %</t>
    </r>
    <r>
      <rPr>
        <sz val="12"/>
        <rFont val="Calibri"/>
        <family val="2"/>
        <scheme val="minor"/>
      </rPr>
      <t xml:space="preserve"> auf den KV-Lohn angegeben (eine oft in Angebotsformularen verlangte Angabe). 
Diverse kleinere Verbesserungen. Erweiterungen bei der Ermittlung der Personalgemeinkosten.
In der letzten Zeile der K3-Blätter  ist das mittlere Feld als Eingabefeld freigegeben. Damit kann (im EXL-Menü mit Einfügen --&gt; Illustration --&gt; Bilder) ein </t>
    </r>
    <r>
      <rPr>
        <b/>
        <sz val="12"/>
        <rFont val="Calibri"/>
        <family val="2"/>
        <scheme val="minor"/>
      </rPr>
      <t>LOGO</t>
    </r>
    <r>
      <rPr>
        <sz val="12"/>
        <rFont val="Calibri"/>
        <family val="2"/>
        <scheme val="minor"/>
      </rPr>
      <t xml:space="preserve"> in das K-Blatt eingefügt werden.</t>
    </r>
  </si>
  <si>
    <t>Mittelpersonalpreis</t>
  </si>
  <si>
    <t>Regie 01</t>
  </si>
  <si>
    <t>abgabepfl. Personal-kosten</t>
  </si>
  <si>
    <t>Personal-neben-kosten</t>
  </si>
  <si>
    <t>Gesamtzu-schlag</t>
  </si>
  <si>
    <t>KV inkl unproduk-tive Zeiten</t>
  </si>
  <si>
    <t>Zusammenfassung</t>
  </si>
  <si>
    <t>Regie 03</t>
  </si>
  <si>
    <t>Regie 02</t>
  </si>
  <si>
    <t>Regie 04</t>
  </si>
  <si>
    <t>Regiepartie01</t>
  </si>
  <si>
    <t>Firma XyZ</t>
  </si>
  <si>
    <t>1234 Musterort</t>
  </si>
  <si>
    <t>% in €</t>
  </si>
  <si>
    <t>oder in %</t>
  </si>
  <si>
    <t>6) Folgende Werte bitte gegebenenfalls prüfen:</t>
  </si>
  <si>
    <t>Alle Kostenarten</t>
  </si>
  <si>
    <t>Vertragl. Abzüge (Bauschaden, …)</t>
  </si>
  <si>
    <t>Festpreise</t>
  </si>
  <si>
    <t>Baustellengemeinkosten</t>
  </si>
  <si>
    <t>Regie Facharbeiter</t>
  </si>
  <si>
    <t>Regie Hilfsarbeiter</t>
  </si>
  <si>
    <t>Regie Hilfsarbeiter Überstunde</t>
  </si>
  <si>
    <t>Partie FA + HA</t>
  </si>
  <si>
    <t>Personal-gemeinko. + Umlagen</t>
  </si>
  <si>
    <t>Musterbaustelle</t>
  </si>
  <si>
    <t>xxx</t>
  </si>
  <si>
    <t>Überstunde 50%</t>
  </si>
  <si>
    <t>6. Hilfsarbeiter</t>
  </si>
  <si>
    <t>3. Facharbeiter mit Lehrabschluss</t>
  </si>
  <si>
    <t>7. Hilfspersonal</t>
  </si>
  <si>
    <t>Mittellohnpreis - Musterkalkulation f Hafner, Platten- u Fliesenleger</t>
  </si>
  <si>
    <t>Facharbeiter (&gt; 2Verwendungsjahr)</t>
  </si>
  <si>
    <t>Qualifizierter Helfer</t>
  </si>
  <si>
    <t>Taggeld</t>
  </si>
  <si>
    <t>Regie Qual. Helfer</t>
  </si>
  <si>
    <t>K3_Quelle</t>
  </si>
  <si>
    <t xml:space="preserve">Musterbaustelle </t>
  </si>
  <si>
    <t>Hafner_Platten_Fliesenl_23</t>
  </si>
  <si>
    <t>Musterfirma</t>
  </si>
  <si>
    <t>Musterstraße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</si>
</sst>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4" formatCode="_-&quot;€&quot;\ * #,##0.00_-;\-&quot;€&quot;\ * #,##0.00_-;_-&quot;€&quot;\ * &quot;-&quot;??_-;_-@_-"/>
    <numFmt numFmtId="43" formatCode="_-* #,##0.00_-;\-* #,##0.00_-;_-* &quot;-&quot;??_-;_-@_-"/>
    <numFmt numFmtId="164" formatCode="\$#,##0\ ;\(\$#,##0\)"/>
    <numFmt numFmtId="165" formatCode="0.0%"/>
    <numFmt numFmtId="166" formatCode="_-* #,##0.00\ [$€]_-;\-* #,##0.00\ [$€]_-;_-* &quot;-&quot;??\ [$€]_-;_-@_-"/>
    <numFmt numFmtId="167" formatCode="_-[$€-C07]\ * #,##0.00_-;\-[$€-C07]\ * #,##0.00_-;_-[$€-C07]\ * &quot;-&quot;??_-;_-@_-"/>
    <numFmt numFmtId="168" formatCode="_-[$€-C07]\ * #,##0_-;\-[$€-C07]\ * #,##0_-;_-[$€-C07]\ * &quot;-&quot;??_-;_-@_-"/>
    <numFmt numFmtId="169" formatCode="0.0000"/>
    <numFmt numFmtId="170" formatCode="dd\.mm\.yyyy;@"/>
    <numFmt numFmtId="171" formatCode="#,##0.000"/>
    <numFmt numFmtId="172" formatCode="0.00&quot; €/Std&quot;"/>
    <numFmt numFmtId="173" formatCode="0.0&quot; Std/Wo&quot;"/>
    <numFmt numFmtId="174" formatCode="_-[$€-C07]\ * #,##0.000_-;\-[$€-C07]\ * #,##0.000_-;_-[$€-C07]\ * &quot;-&quot;??_-;_-@_-"/>
    <numFmt numFmtId="175" formatCode="_-&quot;€&quot;\ * #,##0.000_-;\-&quot;€&quot;\ * #,##0.000_-;_-&quot;€&quot;\ * &quot;-&quot;??_-;_-@_-"/>
    <numFmt numFmtId="176" formatCode="0.000"/>
    <numFmt numFmtId="177" formatCode="0.000000"/>
    <numFmt numFmtId="178" formatCode="#,##0.0000"/>
    <numFmt numFmtId="179" formatCode="&quot;KZ = &quot;0"/>
    <numFmt numFmtId="180" formatCode="#,##0&quot; Std&quot;"/>
    <numFmt numFmtId="181" formatCode="0&quot; Tage gültig&quot;"/>
    <numFmt numFmtId="182" formatCode="0;\-0;;@"/>
    <numFmt numFmtId="183" formatCode="0.00;\-0.00;;@"/>
    <numFmt numFmtId="184" formatCode="_-* #,##0\ [$€-407]_-;\-* #,##0\ [$€-407]_-;_-* &quot;-&quot;??\ [$€-407]_-;_-@_-"/>
    <numFmt numFmtId="185" formatCode="_-* #,##0.00\ [$€-407]_-;\-* #,##0.00\ [$€-407]_-;_-* &quot;-&quot;??\ [$€-407]_-;_-@_-"/>
    <numFmt numFmtId="186" formatCode="0&quot; Tage&quot;"/>
    <numFmt numFmtId="187" formatCode="0.000%"/>
    <numFmt numFmtId="188" formatCode="#,##0.0&quot; d/Wo&quot;"/>
    <numFmt numFmtId="189" formatCode="#,##0.00&quot; Std&quot;"/>
    <numFmt numFmtId="190" formatCode="0.0&quot; Std/Tag&quot;"/>
    <numFmt numFmtId="191" formatCode="#,##0.00&quot; €/Std&quot;"/>
    <numFmt numFmtId="192" formatCode="#,##0.000&quot; €/Min&quot;"/>
    <numFmt numFmtId="193" formatCode="0.00%;\-0.00%;;@"/>
    <numFmt numFmtId="194" formatCode="&quot;€&quot;\ 0.000;\-&quot;€&quot;\ 0.000;;@"/>
    <numFmt numFmtId="195" formatCode="&quot;€&quot;\ 0.00;\-&quot;€&quot;\ 0.00;;@"/>
    <numFmt numFmtId="196" formatCode="0.000%;\-0.000%;;@"/>
  </numFmts>
  <fonts count="136" x14ac:knownFonts="1">
    <font>
      <sz val="12"/>
      <name val="Arial"/>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sz val="11"/>
      <name val="Arial"/>
      <family val="2"/>
    </font>
    <font>
      <sz val="10"/>
      <name val="Arial"/>
      <family val="2"/>
    </font>
    <font>
      <sz val="12"/>
      <name val="Arial"/>
      <family val="2"/>
    </font>
    <font>
      <b/>
      <sz val="14"/>
      <color theme="1"/>
      <name val="Calibri"/>
      <family val="2"/>
      <scheme val="minor"/>
    </font>
    <font>
      <b/>
      <sz val="10"/>
      <color theme="1"/>
      <name val="Calibri"/>
      <family val="2"/>
      <scheme val="minor"/>
    </font>
    <font>
      <sz val="10"/>
      <color theme="1"/>
      <name val="Calibri"/>
      <family val="2"/>
      <scheme val="minor"/>
    </font>
    <font>
      <b/>
      <sz val="10"/>
      <color theme="1"/>
      <name val="Calibri"/>
      <family val="2"/>
    </font>
    <font>
      <i/>
      <sz val="10"/>
      <color theme="1"/>
      <name val="Calibri"/>
      <family val="2"/>
      <scheme val="minor"/>
    </font>
    <font>
      <sz val="10"/>
      <name val="Calibri"/>
      <family val="2"/>
      <scheme val="minor"/>
    </font>
    <font>
      <b/>
      <sz val="10"/>
      <name val="Calibri"/>
      <family val="2"/>
      <scheme val="minor"/>
    </font>
    <font>
      <i/>
      <sz val="10"/>
      <name val="Calibri"/>
      <family val="2"/>
      <scheme val="minor"/>
    </font>
    <font>
      <i/>
      <sz val="10"/>
      <color theme="4"/>
      <name val="Calibri"/>
      <family val="2"/>
      <scheme val="minor"/>
    </font>
    <font>
      <i/>
      <sz val="10"/>
      <color theme="3"/>
      <name val="Calibri"/>
      <family val="2"/>
      <scheme val="minor"/>
    </font>
    <font>
      <sz val="8"/>
      <color theme="1"/>
      <name val="Calibri"/>
      <family val="2"/>
      <scheme val="minor"/>
    </font>
    <font>
      <sz val="12"/>
      <name val="Calibri"/>
      <family val="2"/>
      <scheme val="minor"/>
    </font>
    <font>
      <i/>
      <sz val="9"/>
      <color theme="1"/>
      <name val="Calibri"/>
      <family val="2"/>
      <scheme val="minor"/>
    </font>
    <font>
      <i/>
      <sz val="9"/>
      <name val="Calibri"/>
      <family val="2"/>
      <scheme val="minor"/>
    </font>
    <font>
      <sz val="11"/>
      <name val="Calibri"/>
      <family val="2"/>
      <scheme val="minor"/>
    </font>
    <font>
      <i/>
      <sz val="10"/>
      <color theme="3" tint="0.39997558519241921"/>
      <name val="Calibri"/>
      <family val="2"/>
      <scheme val="minor"/>
    </font>
    <font>
      <b/>
      <sz val="12"/>
      <name val="Calibri"/>
      <family val="2"/>
      <scheme val="minor"/>
    </font>
    <font>
      <sz val="12"/>
      <color rgb="FFFF0000"/>
      <name val="Calibri"/>
      <family val="2"/>
      <scheme val="minor"/>
    </font>
    <font>
      <b/>
      <sz val="11"/>
      <name val="Calibri"/>
      <family val="2"/>
      <scheme val="minor"/>
    </font>
    <font>
      <b/>
      <i/>
      <sz val="10"/>
      <color theme="4"/>
      <name val="Calibri"/>
      <family val="2"/>
      <scheme val="minor"/>
    </font>
    <font>
      <b/>
      <sz val="16"/>
      <name val="Calibri"/>
      <family val="2"/>
      <scheme val="minor"/>
    </font>
    <font>
      <i/>
      <sz val="10"/>
      <color rgb="FF0070C0"/>
      <name val="Calibri"/>
      <family val="2"/>
      <scheme val="minor"/>
    </font>
    <font>
      <b/>
      <i/>
      <sz val="10"/>
      <color rgb="FF0070C0"/>
      <name val="Calibri"/>
      <family val="2"/>
      <scheme val="minor"/>
    </font>
    <font>
      <sz val="12"/>
      <color rgb="FF0070C0"/>
      <name val="Arial"/>
      <family val="2"/>
    </font>
    <font>
      <sz val="10"/>
      <color rgb="FF0070C0"/>
      <name val="Calibri"/>
      <family val="2"/>
      <scheme val="minor"/>
    </font>
    <font>
      <i/>
      <sz val="11"/>
      <name val="Calibri"/>
      <family val="2"/>
      <scheme val="minor"/>
    </font>
    <font>
      <sz val="9"/>
      <name val="Calibri"/>
      <family val="2"/>
    </font>
    <font>
      <sz val="12"/>
      <name val="Arial"/>
      <family val="2"/>
    </font>
    <font>
      <b/>
      <sz val="11"/>
      <color theme="1"/>
      <name val="Calibri"/>
      <family val="2"/>
      <scheme val="minor"/>
    </font>
    <font>
      <vertAlign val="superscript"/>
      <sz val="10"/>
      <name val="Calibri"/>
      <family val="2"/>
      <scheme val="minor"/>
    </font>
    <font>
      <sz val="11"/>
      <name val="Calibri"/>
      <family val="2"/>
    </font>
    <font>
      <sz val="11"/>
      <color rgb="FFFF0000"/>
      <name val="Calibri"/>
      <family val="2"/>
      <scheme val="minor"/>
    </font>
    <font>
      <sz val="11"/>
      <color theme="1" tint="0.499984740745262"/>
      <name val="Calibri"/>
      <family val="2"/>
      <scheme val="minor"/>
    </font>
    <font>
      <i/>
      <sz val="11"/>
      <color rgb="FFFF0000"/>
      <name val="Calibri"/>
      <family val="2"/>
      <scheme val="minor"/>
    </font>
    <font>
      <b/>
      <sz val="10"/>
      <color rgb="FFFF0000"/>
      <name val="Calibri"/>
      <family val="2"/>
      <scheme val="minor"/>
    </font>
    <font>
      <b/>
      <i/>
      <sz val="11"/>
      <color rgb="FFFF0000"/>
      <name val="Calibri"/>
      <family val="2"/>
      <scheme val="minor"/>
    </font>
    <font>
      <i/>
      <sz val="10"/>
      <color theme="4" tint="-0.249977111117893"/>
      <name val="Calibri"/>
      <family val="2"/>
      <scheme val="minor"/>
    </font>
    <font>
      <b/>
      <i/>
      <sz val="10"/>
      <color theme="4" tint="-0.249977111117893"/>
      <name val="Calibri"/>
      <family val="2"/>
      <scheme val="minor"/>
    </font>
    <font>
      <sz val="10"/>
      <color theme="4" tint="-0.249977111117893"/>
      <name val="Calibri"/>
      <family val="2"/>
      <scheme val="minor"/>
    </font>
    <font>
      <sz val="12"/>
      <color theme="4" tint="-0.249977111117893"/>
      <name val="Arial"/>
      <family val="2"/>
    </font>
    <font>
      <b/>
      <i/>
      <sz val="10"/>
      <name val="Calibri"/>
      <family val="2"/>
      <scheme val="minor"/>
    </font>
    <font>
      <b/>
      <sz val="11"/>
      <name val="Calibri"/>
      <family val="2"/>
    </font>
    <font>
      <b/>
      <sz val="12.1"/>
      <name val="Calibri"/>
      <family val="2"/>
    </font>
    <font>
      <sz val="12.1"/>
      <name val="Calibri"/>
      <family val="2"/>
    </font>
    <font>
      <i/>
      <sz val="10"/>
      <name val="Calibri"/>
      <family val="2"/>
    </font>
    <font>
      <sz val="9"/>
      <name val="Calibri"/>
      <family val="2"/>
      <scheme val="minor"/>
    </font>
    <font>
      <sz val="11"/>
      <color theme="0" tint="-0.499984740745262"/>
      <name val="Calibri"/>
      <family val="2"/>
      <scheme val="minor"/>
    </font>
    <font>
      <sz val="10"/>
      <color theme="1"/>
      <name val="Calibri"/>
      <family val="2"/>
    </font>
    <font>
      <u/>
      <sz val="12"/>
      <color theme="10"/>
      <name val="Arial"/>
      <family val="2"/>
    </font>
    <font>
      <u/>
      <sz val="11"/>
      <color theme="10"/>
      <name val="Calibri"/>
      <family val="2"/>
      <scheme val="minor"/>
    </font>
    <font>
      <sz val="9"/>
      <color theme="1"/>
      <name val="Calibri"/>
      <family val="2"/>
      <scheme val="minor"/>
    </font>
    <font>
      <u/>
      <sz val="9"/>
      <color theme="10"/>
      <name val="Calibri"/>
      <family val="2"/>
      <scheme val="minor"/>
    </font>
    <font>
      <sz val="12"/>
      <color theme="1"/>
      <name val="Calibri"/>
      <family val="2"/>
      <scheme val="minor"/>
    </font>
    <font>
      <b/>
      <vertAlign val="superscript"/>
      <sz val="10"/>
      <name val="Calibri"/>
      <family val="2"/>
      <scheme val="minor"/>
    </font>
    <font>
      <b/>
      <sz val="9"/>
      <color theme="1"/>
      <name val="Calibri"/>
      <family val="2"/>
      <scheme val="minor"/>
    </font>
    <font>
      <i/>
      <sz val="10.8"/>
      <name val="Calibri"/>
      <family val="2"/>
    </font>
    <font>
      <b/>
      <sz val="14"/>
      <color rgb="FFFF0000"/>
      <name val="Calibri"/>
      <family val="2"/>
      <scheme val="minor"/>
    </font>
    <font>
      <b/>
      <sz val="12"/>
      <color rgb="FFFF0000"/>
      <name val="Calibri"/>
      <family val="2"/>
      <scheme val="minor"/>
    </font>
    <font>
      <i/>
      <sz val="9"/>
      <color theme="4" tint="-0.249977111117893"/>
      <name val="Calibri"/>
      <family val="2"/>
      <scheme val="minor"/>
    </font>
    <font>
      <sz val="11"/>
      <color theme="0"/>
      <name val="Calibri"/>
      <family val="2"/>
      <scheme val="minor"/>
    </font>
    <font>
      <b/>
      <sz val="16"/>
      <color rgb="FFFF0000"/>
      <name val="Calibri"/>
      <family val="2"/>
      <scheme val="minor"/>
    </font>
    <font>
      <i/>
      <sz val="12"/>
      <color theme="0"/>
      <name val="Calibri"/>
      <family val="2"/>
      <scheme val="minor"/>
    </font>
    <font>
      <i/>
      <sz val="11"/>
      <color theme="0"/>
      <name val="Calibri"/>
      <family val="2"/>
      <scheme val="minor"/>
    </font>
    <font>
      <b/>
      <sz val="14"/>
      <name val="Calibri"/>
      <family val="2"/>
      <scheme val="minor"/>
    </font>
    <font>
      <sz val="9"/>
      <color indexed="81"/>
      <name val="Segoe UI"/>
      <family val="2"/>
    </font>
    <font>
      <sz val="8"/>
      <color indexed="81"/>
      <name val="Segoe UI"/>
      <family val="2"/>
    </font>
    <font>
      <b/>
      <sz val="18"/>
      <color rgb="FFFF0000"/>
      <name val="Calibri"/>
      <family val="2"/>
      <scheme val="minor"/>
    </font>
    <font>
      <sz val="12"/>
      <color theme="0"/>
      <name val="Calibri"/>
      <family val="2"/>
      <scheme val="minor"/>
    </font>
    <font>
      <b/>
      <i/>
      <sz val="11"/>
      <name val="Calibri"/>
      <family val="2"/>
      <scheme val="minor"/>
    </font>
    <font>
      <b/>
      <i/>
      <sz val="12"/>
      <name val="Calibri"/>
      <family val="2"/>
      <scheme val="minor"/>
    </font>
    <font>
      <b/>
      <sz val="12"/>
      <color rgb="FFC00000"/>
      <name val="Calibri"/>
      <family val="2"/>
      <scheme val="minor"/>
    </font>
    <font>
      <i/>
      <sz val="12"/>
      <name val="Calibri"/>
      <family val="2"/>
      <scheme val="minor"/>
    </font>
    <font>
      <i/>
      <sz val="8"/>
      <color rgb="FF0070C0"/>
      <name val="Calibri"/>
      <family val="2"/>
      <scheme val="minor"/>
    </font>
    <font>
      <b/>
      <i/>
      <sz val="10"/>
      <color theme="1"/>
      <name val="Calibri"/>
      <family val="2"/>
      <scheme val="minor"/>
    </font>
    <font>
      <b/>
      <sz val="8"/>
      <color rgb="FFFF0000"/>
      <name val="Calibri"/>
      <family val="2"/>
      <scheme val="minor"/>
    </font>
    <font>
      <sz val="10"/>
      <color rgb="FFFF0000"/>
      <name val="Calibri"/>
      <family val="2"/>
      <scheme val="minor"/>
    </font>
    <font>
      <b/>
      <sz val="11"/>
      <color rgb="FFFF0000"/>
      <name val="Calibri"/>
      <family val="2"/>
      <scheme val="minor"/>
    </font>
    <font>
      <sz val="9"/>
      <color rgb="FFFF0000"/>
      <name val="Calibri"/>
      <family val="2"/>
      <scheme val="minor"/>
    </font>
    <font>
      <b/>
      <sz val="10"/>
      <color theme="0"/>
      <name val="Calibri"/>
      <family val="2"/>
      <scheme val="minor"/>
    </font>
    <font>
      <b/>
      <i/>
      <sz val="11"/>
      <color theme="5" tint="-0.249977111117893"/>
      <name val="Calibri"/>
      <family val="2"/>
      <scheme val="minor"/>
    </font>
    <font>
      <b/>
      <sz val="11"/>
      <color theme="5" tint="-0.249977111117893"/>
      <name val="Calibri"/>
      <family val="2"/>
      <scheme val="minor"/>
    </font>
    <font>
      <sz val="12"/>
      <color theme="3" tint="-0.249977111117893"/>
      <name val="Calibri"/>
      <family val="2"/>
      <scheme val="minor"/>
    </font>
    <font>
      <sz val="11"/>
      <color theme="3" tint="-0.249977111117893"/>
      <name val="Calibri"/>
      <family val="2"/>
      <scheme val="minor"/>
    </font>
    <font>
      <sz val="8"/>
      <name val="Calibri"/>
      <family val="2"/>
      <scheme val="minor"/>
    </font>
    <font>
      <b/>
      <sz val="11"/>
      <color theme="9" tint="-0.249977111117893"/>
      <name val="Calibri"/>
      <family val="2"/>
      <scheme val="minor"/>
    </font>
    <font>
      <b/>
      <sz val="11"/>
      <color theme="0" tint="-0.499984740745262"/>
      <name val="Calibri"/>
      <family val="2"/>
      <scheme val="minor"/>
    </font>
    <font>
      <i/>
      <sz val="9"/>
      <color theme="0" tint="-0.499984740745262"/>
      <name val="Calibri"/>
      <family val="2"/>
      <scheme val="minor"/>
    </font>
    <font>
      <b/>
      <sz val="9"/>
      <name val="Calibri"/>
      <family val="2"/>
      <scheme val="minor"/>
    </font>
    <font>
      <sz val="10"/>
      <color indexed="81"/>
      <name val="Calibri"/>
      <family val="2"/>
      <scheme val="minor"/>
    </font>
    <font>
      <sz val="9"/>
      <color theme="0" tint="-0.499984740745262"/>
      <name val="Calibri"/>
      <family val="2"/>
      <scheme val="minor"/>
    </font>
    <font>
      <sz val="11"/>
      <color theme="0" tint="-0.499984740745262"/>
      <name val="Calibri"/>
      <family val="2"/>
    </font>
    <font>
      <i/>
      <sz val="11"/>
      <color theme="0" tint="-0.499984740745262"/>
      <name val="Calibri"/>
      <family val="2"/>
      <scheme val="minor"/>
    </font>
    <font>
      <sz val="8"/>
      <color indexed="81"/>
      <name val="Calibri"/>
      <family val="2"/>
      <scheme val="minor"/>
    </font>
    <font>
      <vertAlign val="superscript"/>
      <sz val="9"/>
      <name val="Calibri"/>
      <family val="2"/>
      <scheme val="minor"/>
    </font>
    <font>
      <b/>
      <sz val="8"/>
      <name val="Calibri"/>
      <family val="2"/>
      <scheme val="minor"/>
    </font>
    <font>
      <i/>
      <sz val="10"/>
      <color theme="0" tint="-0.499984740745262"/>
      <name val="Calibri"/>
      <family val="2"/>
      <scheme val="minor"/>
    </font>
    <font>
      <sz val="10"/>
      <color theme="0" tint="-0.499984740745262"/>
      <name val="Calibri"/>
      <family val="2"/>
      <scheme val="minor"/>
    </font>
    <font>
      <sz val="8"/>
      <color theme="0" tint="-0.499984740745262"/>
      <name val="Arial Narrow"/>
      <family val="2"/>
    </font>
    <font>
      <b/>
      <sz val="12"/>
      <color theme="0"/>
      <name val="Calibri"/>
      <family val="2"/>
      <scheme val="minor"/>
    </font>
    <font>
      <b/>
      <sz val="9"/>
      <color indexed="81"/>
      <name val="Segoe UI"/>
      <family val="2"/>
    </font>
    <font>
      <sz val="8"/>
      <color rgb="FFFF0000"/>
      <name val="Calibri"/>
      <family val="2"/>
      <scheme val="minor"/>
    </font>
    <font>
      <sz val="8"/>
      <color theme="0" tint="-0.499984740745262"/>
      <name val="Calibri"/>
      <family val="2"/>
      <scheme val="minor"/>
    </font>
    <font>
      <b/>
      <sz val="18"/>
      <name val="Calibri"/>
      <family val="2"/>
      <scheme val="minor"/>
    </font>
    <font>
      <u/>
      <sz val="10"/>
      <color theme="10"/>
      <name val="Calibri"/>
      <family val="2"/>
      <scheme val="minor"/>
    </font>
    <font>
      <u/>
      <sz val="8"/>
      <color theme="10"/>
      <name val="Arial"/>
      <family val="2"/>
    </font>
    <font>
      <b/>
      <sz val="9"/>
      <color rgb="FFFF0000"/>
      <name val="Calibri"/>
      <family val="2"/>
      <scheme val="minor"/>
    </font>
    <font>
      <i/>
      <sz val="8"/>
      <name val="Calibri"/>
      <family val="2"/>
      <scheme val="minor"/>
    </font>
    <font>
      <b/>
      <i/>
      <sz val="10"/>
      <color theme="0"/>
      <name val="Calibri"/>
      <family val="2"/>
      <scheme val="minor"/>
    </font>
    <font>
      <sz val="12"/>
      <color theme="0"/>
      <name val="Arial"/>
      <family val="2"/>
    </font>
    <font>
      <sz val="10"/>
      <color theme="0"/>
      <name val="Calibri"/>
      <family val="2"/>
      <scheme val="minor"/>
    </font>
    <font>
      <i/>
      <sz val="8"/>
      <color theme="0"/>
      <name val="Calibri"/>
      <family val="2"/>
      <scheme val="minor"/>
    </font>
    <font>
      <i/>
      <sz val="9"/>
      <color theme="2" tint="-0.749992370372631"/>
      <name val="Calibri"/>
      <family val="2"/>
      <scheme val="minor"/>
    </font>
    <font>
      <i/>
      <sz val="10"/>
      <color theme="2" tint="-0.749992370372631"/>
      <name val="Calibri"/>
      <family val="2"/>
      <scheme val="minor"/>
    </font>
    <font>
      <b/>
      <i/>
      <sz val="10"/>
      <color theme="0" tint="-0.499984740745262"/>
      <name val="Calibri"/>
      <family val="2"/>
      <scheme val="minor"/>
    </font>
    <font>
      <sz val="9"/>
      <color theme="0"/>
      <name val="Calibri"/>
      <family val="2"/>
      <scheme val="minor"/>
    </font>
    <font>
      <i/>
      <sz val="9"/>
      <color theme="0"/>
      <name val="Calibri"/>
      <family val="2"/>
      <scheme val="minor"/>
    </font>
    <font>
      <sz val="12"/>
      <color theme="2" tint="-0.749992370372631"/>
      <name val="Calibri"/>
      <family val="2"/>
      <scheme val="minor"/>
    </font>
    <font>
      <b/>
      <sz val="11"/>
      <color theme="2" tint="-0.749992370372631"/>
      <name val="Calibri"/>
      <family val="2"/>
      <scheme val="minor"/>
    </font>
    <font>
      <b/>
      <sz val="11"/>
      <color rgb="FFEF9A8F"/>
      <name val="Calibri"/>
      <family val="2"/>
      <scheme val="minor"/>
    </font>
    <font>
      <i/>
      <sz val="10"/>
      <color theme="3" tint="-0.249977111117893"/>
      <name val="Calibri"/>
      <family val="2"/>
      <scheme val="minor"/>
    </font>
    <font>
      <u/>
      <sz val="10"/>
      <color theme="10"/>
      <name val="Arial"/>
      <family val="2"/>
    </font>
    <font>
      <u/>
      <sz val="9"/>
      <color theme="10"/>
      <name val="Arial"/>
      <family val="2"/>
    </font>
    <font>
      <u/>
      <sz val="12"/>
      <color theme="10"/>
      <name val="Calibri"/>
      <family val="2"/>
      <scheme val="minor"/>
    </font>
    <font>
      <sz val="14"/>
      <name val="Calibri"/>
      <family val="2"/>
      <scheme val="minor"/>
    </font>
    <font>
      <b/>
      <sz val="14"/>
      <color theme="0"/>
      <name val="Calibri"/>
      <family val="2"/>
      <scheme val="minor"/>
    </font>
    <font>
      <u/>
      <sz val="11"/>
      <color theme="0"/>
      <name val="Calibri"/>
      <family val="2"/>
      <scheme val="minor"/>
    </font>
    <font>
      <b/>
      <sz val="11"/>
      <color theme="0"/>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darkUp">
        <fgColor theme="0" tint="-0.499984740745262"/>
        <bgColor indexed="65"/>
      </patternFill>
    </fill>
    <fill>
      <patternFill patternType="solid">
        <fgColor theme="6" tint="0.39997558519241921"/>
        <bgColor indexed="64"/>
      </patternFill>
    </fill>
    <fill>
      <patternFill patternType="darkUp">
        <fgColor theme="0" tint="-0.24994659260841701"/>
        <bgColor indexed="65"/>
      </patternFill>
    </fill>
    <fill>
      <patternFill patternType="solid">
        <fgColor rgb="FF00B0F0"/>
        <bgColor indexed="64"/>
      </patternFill>
    </fill>
    <fill>
      <patternFill patternType="lightUp">
        <fgColor theme="0" tint="-0.34998626667073579"/>
        <bgColor indexed="65"/>
      </patternFill>
    </fill>
    <fill>
      <patternFill patternType="darkUp">
        <fgColor theme="0" tint="-0.499984740745262"/>
        <bgColor theme="0" tint="-0.24994659260841701"/>
      </patternFill>
    </fill>
    <fill>
      <patternFill patternType="lightUp">
        <fgColor theme="0" tint="-0.24994659260841701"/>
        <bgColor indexed="65"/>
      </patternFill>
    </fill>
    <fill>
      <patternFill patternType="solid">
        <fgColor indexed="65"/>
        <bgColor theme="0"/>
      </patternFill>
    </fill>
    <fill>
      <patternFill patternType="solid">
        <fgColor indexed="65"/>
        <bgColor theme="0" tint="-0.24994659260841701"/>
      </patternFill>
    </fill>
    <fill>
      <patternFill patternType="solid">
        <fgColor theme="0" tint="-0.34998626667073579"/>
        <bgColor indexed="64"/>
      </patternFill>
    </fill>
    <fill>
      <patternFill patternType="solid">
        <fgColor rgb="FF92D050"/>
        <bgColor indexed="64"/>
      </patternFill>
    </fill>
    <fill>
      <patternFill patternType="solid">
        <fgColor rgb="FFEF9A8F"/>
        <bgColor indexed="64"/>
      </patternFill>
    </fill>
    <fill>
      <gradientFill>
        <stop position="0">
          <color rgb="FFEF9A8F"/>
        </stop>
        <stop position="1">
          <color theme="0" tint="-0.25098422193060094"/>
        </stop>
      </gradientFill>
    </fill>
    <fill>
      <gradientFill>
        <stop position="0">
          <color rgb="FFEF9A8F"/>
        </stop>
        <stop position="1">
          <color theme="0" tint="-0.1490218817712943"/>
        </stop>
      </gradientFill>
    </fill>
    <fill>
      <patternFill patternType="solid">
        <fgColor theme="9"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84">
    <border>
      <left/>
      <right/>
      <top/>
      <bottom/>
      <diagonal/>
    </border>
    <border>
      <left/>
      <right/>
      <top style="double">
        <color indexed="64"/>
      </top>
      <bottom/>
      <diagonal/>
    </border>
    <border>
      <left/>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rgb="FFC00000"/>
      </left>
      <right/>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5">
    <xf numFmtId="0" fontId="0" fillId="0" borderId="0"/>
    <xf numFmtId="0" fontId="8" fillId="0" borderId="0" applyProtection="0"/>
    <xf numFmtId="166" fontId="7" fillId="0" borderId="0" applyFont="0" applyFill="0" applyBorder="0" applyAlignment="0" applyProtection="0"/>
    <xf numFmtId="2" fontId="8" fillId="0" borderId="0" applyProtection="0"/>
    <xf numFmtId="0" fontId="5" fillId="0" borderId="1" applyNumberFormat="0" applyFont="0" applyFill="0" applyAlignment="0" applyProtection="0"/>
    <xf numFmtId="4" fontId="8" fillId="0" borderId="0" applyProtection="0"/>
    <xf numFmtId="3" fontId="5" fillId="0" borderId="0" applyFont="0" applyFill="0" applyBorder="0" applyAlignment="0" applyProtection="0"/>
    <xf numFmtId="0" fontId="8" fillId="0" borderId="0" applyNumberFormat="0" applyFont="0" applyFill="0" applyBorder="0" applyAlignment="0" applyProtection="0"/>
    <xf numFmtId="0" fontId="4" fillId="0" borderId="0" applyProtection="0"/>
    <xf numFmtId="10" fontId="8" fillId="0" borderId="0" applyProtection="0"/>
    <xf numFmtId="0" fontId="7" fillId="0" borderId="0"/>
    <xf numFmtId="0" fontId="8" fillId="0" borderId="2" applyProtection="0"/>
    <xf numFmtId="164"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36"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0" fontId="57" fillId="0" borderId="0" applyNumberFormat="0" applyFill="0" applyBorder="0" applyAlignment="0" applyProtection="0"/>
    <xf numFmtId="0" fontId="8" fillId="0" borderId="0"/>
    <xf numFmtId="0" fontId="1" fillId="0" borderId="0"/>
    <xf numFmtId="10" fontId="8" fillId="0" borderId="0" applyProtection="0"/>
    <xf numFmtId="0" fontId="58" fillId="0" borderId="0" applyNumberFormat="0" applyFill="0" applyBorder="0" applyAlignment="0" applyProtection="0"/>
  </cellStyleXfs>
  <cellXfs count="2454">
    <xf numFmtId="0" fontId="0" fillId="0" borderId="0" xfId="0"/>
    <xf numFmtId="0" fontId="11" fillId="0" borderId="0" xfId="0" applyFont="1" applyBorder="1" applyAlignment="1">
      <alignment vertical="center"/>
    </xf>
    <xf numFmtId="0" fontId="10" fillId="0" borderId="17" xfId="0" applyFont="1" applyBorder="1" applyAlignment="1">
      <alignment vertical="center"/>
    </xf>
    <xf numFmtId="0" fontId="11" fillId="0" borderId="17" xfId="0" applyFont="1" applyBorder="1" applyAlignment="1">
      <alignment vertical="center"/>
    </xf>
    <xf numFmtId="0" fontId="11" fillId="0" borderId="9" xfId="0" applyFont="1" applyBorder="1" applyAlignment="1">
      <alignment vertical="center"/>
    </xf>
    <xf numFmtId="0" fontId="16" fillId="0" borderId="0" xfId="0" applyFont="1" applyBorder="1" applyAlignment="1">
      <alignment vertical="center"/>
    </xf>
    <xf numFmtId="0" fontId="14" fillId="0" borderId="0" xfId="0" applyFont="1" applyBorder="1" applyAlignment="1">
      <alignment vertical="center"/>
    </xf>
    <xf numFmtId="0" fontId="13" fillId="0" borderId="0" xfId="0" applyFont="1" applyBorder="1" applyAlignment="1">
      <alignment vertical="center"/>
    </xf>
    <xf numFmtId="0" fontId="19" fillId="0" borderId="26" xfId="0" applyFont="1" applyBorder="1" applyAlignment="1">
      <alignment horizontal="center" vertical="center"/>
    </xf>
    <xf numFmtId="0" fontId="12" fillId="0" borderId="24" xfId="0" applyFont="1" applyBorder="1" applyAlignment="1">
      <alignment horizontal="center" vertical="center"/>
    </xf>
    <xf numFmtId="0" fontId="12" fillId="0" borderId="14" xfId="0" applyFont="1" applyBorder="1" applyAlignment="1">
      <alignment horizontal="center" vertical="center"/>
    </xf>
    <xf numFmtId="0" fontId="20" fillId="0" borderId="0" xfId="0" applyFont="1"/>
    <xf numFmtId="0" fontId="20" fillId="0" borderId="18" xfId="0" applyFont="1" applyBorder="1"/>
    <xf numFmtId="0" fontId="20" fillId="0" borderId="19" xfId="0" applyFont="1" applyBorder="1"/>
    <xf numFmtId="0" fontId="20" fillId="0" borderId="22" xfId="0" applyFont="1" applyBorder="1"/>
    <xf numFmtId="167" fontId="20" fillId="0" borderId="27" xfId="0" applyNumberFormat="1" applyFont="1" applyBorder="1"/>
    <xf numFmtId="0" fontId="9" fillId="0" borderId="26" xfId="0" applyFont="1" applyBorder="1"/>
    <xf numFmtId="0" fontId="11" fillId="0" borderId="26" xfId="0" applyFont="1" applyBorder="1" applyAlignment="1">
      <alignment horizontal="center"/>
    </xf>
    <xf numFmtId="0" fontId="11" fillId="0" borderId="22" xfId="0" applyFont="1" applyBorder="1" applyAlignment="1">
      <alignment vertical="center"/>
    </xf>
    <xf numFmtId="0" fontId="11" fillId="0" borderId="32" xfId="0" applyFont="1" applyBorder="1" applyAlignment="1">
      <alignment vertical="center"/>
    </xf>
    <xf numFmtId="0" fontId="11" fillId="0" borderId="19" xfId="0" applyFont="1" applyBorder="1" applyAlignment="1">
      <alignment vertical="top"/>
    </xf>
    <xf numFmtId="0" fontId="11" fillId="0" borderId="0" xfId="0" applyFont="1"/>
    <xf numFmtId="1" fontId="11" fillId="0" borderId="26" xfId="0" applyNumberFormat="1" applyFont="1" applyBorder="1" applyAlignment="1">
      <alignment horizontal="center" vertical="center"/>
    </xf>
    <xf numFmtId="10" fontId="11" fillId="0" borderId="26" xfId="9" applyNumberFormat="1" applyFont="1" applyBorder="1" applyAlignment="1">
      <alignment horizontal="center" vertical="center"/>
    </xf>
    <xf numFmtId="0" fontId="13" fillId="0" borderId="26" xfId="0" applyFont="1" applyBorder="1" applyAlignment="1">
      <alignment horizontal="center" vertical="center"/>
    </xf>
    <xf numFmtId="1" fontId="11" fillId="0" borderId="28" xfId="0" applyNumberFormat="1" applyFont="1" applyBorder="1" applyAlignment="1">
      <alignment horizontal="center" vertical="center"/>
    </xf>
    <xf numFmtId="10" fontId="11" fillId="0" borderId="28" xfId="9" applyNumberFormat="1" applyFont="1" applyBorder="1" applyAlignment="1">
      <alignment horizontal="center" vertical="center"/>
    </xf>
    <xf numFmtId="0" fontId="0" fillId="0" borderId="0" xfId="0" applyFill="1" applyBorder="1"/>
    <xf numFmtId="167" fontId="28" fillId="0" borderId="0" xfId="0" applyNumberFormat="1" applyFont="1" applyFill="1" applyBorder="1" applyAlignment="1">
      <alignment vertical="center"/>
    </xf>
    <xf numFmtId="167" fontId="28" fillId="0" borderId="0" xfId="0" applyNumberFormat="1" applyFont="1" applyFill="1" applyBorder="1" applyAlignment="1">
      <alignment horizontal="center" vertical="center"/>
    </xf>
    <xf numFmtId="0" fontId="13" fillId="0" borderId="17" xfId="0" applyFont="1" applyBorder="1" applyAlignment="1">
      <alignment vertical="center"/>
    </xf>
    <xf numFmtId="0" fontId="0" fillId="0" borderId="0" xfId="0" applyBorder="1"/>
    <xf numFmtId="0" fontId="9" fillId="0" borderId="26" xfId="0" applyFont="1" applyBorder="1" applyAlignment="1"/>
    <xf numFmtId="4" fontId="30" fillId="0" borderId="34" xfId="5" applyFont="1" applyBorder="1" applyAlignment="1">
      <alignment vertical="center"/>
    </xf>
    <xf numFmtId="0" fontId="32" fillId="0" borderId="0" xfId="0" applyFont="1" applyFill="1" applyBorder="1"/>
    <xf numFmtId="167" fontId="31" fillId="0" borderId="0" xfId="0" applyNumberFormat="1" applyFont="1" applyFill="1" applyBorder="1" applyAlignment="1">
      <alignment horizontal="center" vertical="center"/>
    </xf>
    <xf numFmtId="167" fontId="31" fillId="0" borderId="14" xfId="0" applyNumberFormat="1" applyFont="1" applyFill="1" applyBorder="1" applyAlignment="1">
      <alignment vertical="center"/>
    </xf>
    <xf numFmtId="0" fontId="14" fillId="0" borderId="8" xfId="0" applyFont="1" applyBorder="1" applyAlignment="1">
      <alignment vertical="center"/>
    </xf>
    <xf numFmtId="0" fontId="17" fillId="0" borderId="8" xfId="0" applyFont="1" applyBorder="1" applyAlignment="1">
      <alignment vertical="center"/>
    </xf>
    <xf numFmtId="4" fontId="24" fillId="0" borderId="23" xfId="5" applyFont="1" applyBorder="1" applyAlignment="1">
      <alignment vertical="center"/>
    </xf>
    <xf numFmtId="0" fontId="19" fillId="0" borderId="18" xfId="0" applyFont="1" applyBorder="1" applyAlignment="1">
      <alignment horizontal="center" vertical="center"/>
    </xf>
    <xf numFmtId="165" fontId="30" fillId="0" borderId="13" xfId="5" applyNumberFormat="1" applyFont="1" applyBorder="1" applyAlignment="1">
      <alignment vertical="center"/>
    </xf>
    <xf numFmtId="0" fontId="9" fillId="0" borderId="18" xfId="0" applyFont="1" applyFill="1" applyBorder="1" applyAlignment="1">
      <alignment horizontal="center"/>
    </xf>
    <xf numFmtId="0" fontId="0" fillId="0" borderId="0" xfId="0" applyAlignment="1">
      <alignment horizontal="center"/>
    </xf>
    <xf numFmtId="165" fontId="30" fillId="7" borderId="13" xfId="5" applyNumberFormat="1" applyFont="1" applyFill="1" applyBorder="1" applyAlignment="1">
      <alignment vertical="center"/>
    </xf>
    <xf numFmtId="9" fontId="30" fillId="7" borderId="13" xfId="9" applyNumberFormat="1" applyFont="1" applyFill="1" applyBorder="1" applyAlignment="1">
      <alignment vertical="center"/>
    </xf>
    <xf numFmtId="4" fontId="30" fillId="7" borderId="27" xfId="5" applyFont="1" applyFill="1" applyBorder="1" applyAlignment="1">
      <alignment vertical="center"/>
    </xf>
    <xf numFmtId="0" fontId="24" fillId="7" borderId="13" xfId="0" applyFont="1" applyFill="1" applyBorder="1" applyAlignment="1">
      <alignment vertical="center"/>
    </xf>
    <xf numFmtId="0" fontId="24" fillId="7" borderId="27" xfId="0" applyFont="1" applyFill="1" applyBorder="1" applyAlignment="1">
      <alignment vertical="center"/>
    </xf>
    <xf numFmtId="165" fontId="30" fillId="7" borderId="25" xfId="5" applyNumberFormat="1" applyFont="1" applyFill="1" applyBorder="1" applyAlignment="1">
      <alignment vertical="center"/>
    </xf>
    <xf numFmtId="0" fontId="24" fillId="7" borderId="25" xfId="0" applyFont="1" applyFill="1" applyBorder="1" applyAlignment="1">
      <alignment vertical="center"/>
    </xf>
    <xf numFmtId="0" fontId="24" fillId="7" borderId="40" xfId="0" applyFont="1" applyFill="1" applyBorder="1" applyAlignment="1">
      <alignment vertical="center"/>
    </xf>
    <xf numFmtId="0" fontId="15" fillId="0" borderId="25" xfId="0" applyFont="1" applyFill="1" applyBorder="1" applyAlignment="1">
      <alignment vertical="center"/>
    </xf>
    <xf numFmtId="0" fontId="18" fillId="0" borderId="9" xfId="0" applyFont="1" applyBorder="1" applyAlignment="1">
      <alignment horizontal="left" vertical="center"/>
    </xf>
    <xf numFmtId="0" fontId="16" fillId="0" borderId="9" xfId="0" applyFont="1" applyBorder="1" applyAlignment="1">
      <alignment vertical="center"/>
    </xf>
    <xf numFmtId="167" fontId="20" fillId="0" borderId="27" xfId="0" applyNumberFormat="1" applyFont="1" applyFill="1" applyBorder="1"/>
    <xf numFmtId="167" fontId="20" fillId="0" borderId="28" xfId="0" applyNumberFormat="1" applyFont="1" applyFill="1" applyBorder="1"/>
    <xf numFmtId="0" fontId="23" fillId="0" borderId="0" xfId="0" applyFont="1"/>
    <xf numFmtId="172" fontId="14" fillId="0" borderId="0" xfId="0" applyNumberFormat="1" applyFont="1" applyBorder="1" applyAlignment="1">
      <alignment vertical="center"/>
    </xf>
    <xf numFmtId="172" fontId="14" fillId="0" borderId="9" xfId="0" applyNumberFormat="1" applyFont="1" applyBorder="1" applyAlignment="1">
      <alignment vertical="center"/>
    </xf>
    <xf numFmtId="0" fontId="14" fillId="0" borderId="9" xfId="0" applyFont="1" applyBorder="1" applyAlignment="1">
      <alignment horizontal="center" vertical="center"/>
    </xf>
    <xf numFmtId="173" fontId="14" fillId="0" borderId="9" xfId="0" applyNumberFormat="1" applyFont="1" applyBorder="1" applyAlignment="1">
      <alignment vertical="center"/>
    </xf>
    <xf numFmtId="0" fontId="13" fillId="0" borderId="31" xfId="0" applyFont="1" applyBorder="1" applyAlignment="1">
      <alignment horizontal="center" vertical="center" wrapText="1"/>
    </xf>
    <xf numFmtId="0" fontId="21" fillId="0" borderId="27" xfId="0" applyFont="1" applyFill="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3" fillId="0" borderId="13" xfId="0" applyFont="1" applyBorder="1"/>
    <xf numFmtId="0" fontId="23" fillId="0" borderId="0" xfId="0" applyFont="1" applyBorder="1"/>
    <xf numFmtId="0" fontId="23" fillId="0" borderId="21" xfId="0" applyFont="1" applyBorder="1"/>
    <xf numFmtId="0" fontId="23" fillId="0" borderId="17" xfId="0" applyFont="1" applyBorder="1"/>
    <xf numFmtId="0" fontId="23" fillId="0" borderId="26" xfId="0" applyFont="1" applyBorder="1" applyAlignment="1">
      <alignment vertical="center"/>
    </xf>
    <xf numFmtId="0" fontId="23" fillId="0" borderId="26" xfId="0" applyFont="1" applyBorder="1" applyAlignment="1">
      <alignment horizontal="center" vertical="center" wrapText="1"/>
    </xf>
    <xf numFmtId="2" fontId="23" fillId="2" borderId="26" xfId="0" applyNumberFormat="1" applyFont="1" applyFill="1" applyBorder="1" applyAlignment="1" applyProtection="1">
      <alignment vertical="center"/>
      <protection locked="0"/>
    </xf>
    <xf numFmtId="167" fontId="23" fillId="0" borderId="26" xfId="0" applyNumberFormat="1" applyFont="1" applyBorder="1" applyAlignment="1">
      <alignment vertical="center"/>
    </xf>
    <xf numFmtId="2" fontId="23" fillId="2" borderId="30" xfId="0" applyNumberFormat="1" applyFont="1" applyFill="1" applyBorder="1" applyAlignment="1" applyProtection="1">
      <alignment vertical="center"/>
      <protection locked="0"/>
    </xf>
    <xf numFmtId="2" fontId="23" fillId="0" borderId="28" xfId="0" applyNumberFormat="1" applyFont="1" applyBorder="1" applyAlignment="1">
      <alignment vertical="center"/>
    </xf>
    <xf numFmtId="10" fontId="23" fillId="0" borderId="28" xfId="0" applyNumberFormat="1" applyFont="1" applyBorder="1" applyAlignment="1">
      <alignment vertical="center"/>
    </xf>
    <xf numFmtId="167" fontId="23" fillId="0" borderId="28" xfId="0" applyNumberFormat="1" applyFont="1" applyBorder="1" applyAlignment="1">
      <alignment vertical="center"/>
    </xf>
    <xf numFmtId="0" fontId="27" fillId="0" borderId="18" xfId="0" applyFont="1" applyBorder="1"/>
    <xf numFmtId="10" fontId="23" fillId="0" borderId="30" xfId="9" applyFont="1" applyBorder="1" applyAlignment="1">
      <alignment vertical="center"/>
    </xf>
    <xf numFmtId="174" fontId="23" fillId="0" borderId="26" xfId="0" applyNumberFormat="1" applyFont="1" applyBorder="1" applyAlignment="1">
      <alignment vertical="center"/>
    </xf>
    <xf numFmtId="174" fontId="23" fillId="0" borderId="26" xfId="9" applyNumberFormat="1" applyFont="1" applyBorder="1" applyAlignment="1">
      <alignment vertical="center"/>
    </xf>
    <xf numFmtId="165" fontId="23" fillId="0" borderId="26" xfId="9" applyNumberFormat="1" applyFont="1" applyBorder="1" applyAlignment="1">
      <alignment vertical="center"/>
    </xf>
    <xf numFmtId="10" fontId="23" fillId="0" borderId="26" xfId="9" applyNumberFormat="1" applyFont="1" applyBorder="1" applyAlignment="1">
      <alignment vertical="center"/>
    </xf>
    <xf numFmtId="167" fontId="23" fillId="0" borderId="23" xfId="0" applyNumberFormat="1" applyFont="1" applyBorder="1" applyAlignment="1">
      <alignment vertical="center"/>
    </xf>
    <xf numFmtId="167" fontId="23" fillId="0" borderId="32" xfId="0" applyNumberFormat="1" applyFont="1" applyBorder="1" applyAlignment="1">
      <alignment vertical="center"/>
    </xf>
    <xf numFmtId="0" fontId="23" fillId="0" borderId="20" xfId="0" applyFont="1" applyBorder="1"/>
    <xf numFmtId="0" fontId="23" fillId="0" borderId="11" xfId="0" applyFont="1" applyBorder="1"/>
    <xf numFmtId="0" fontId="23" fillId="0" borderId="0" xfId="0" applyFont="1" applyFill="1"/>
    <xf numFmtId="4" fontId="23" fillId="5" borderId="30" xfId="0" applyNumberFormat="1" applyFont="1" applyFill="1" applyBorder="1" applyAlignment="1">
      <alignment vertical="center"/>
    </xf>
    <xf numFmtId="167" fontId="23" fillId="0" borderId="30" xfId="0" applyNumberFormat="1" applyFont="1" applyBorder="1" applyAlignment="1">
      <alignment vertical="center"/>
    </xf>
    <xf numFmtId="4" fontId="23" fillId="5" borderId="26" xfId="0" applyNumberFormat="1" applyFont="1" applyFill="1" applyBorder="1" applyAlignment="1">
      <alignment vertical="center"/>
    </xf>
    <xf numFmtId="4" fontId="27" fillId="0" borderId="0" xfId="0" applyNumberFormat="1" applyFont="1" applyBorder="1" applyAlignment="1">
      <alignment vertical="center"/>
    </xf>
    <xf numFmtId="172" fontId="23" fillId="0" borderId="0" xfId="0" applyNumberFormat="1" applyFont="1" applyBorder="1" applyAlignment="1">
      <alignment vertical="center"/>
    </xf>
    <xf numFmtId="172" fontId="23" fillId="0" borderId="9" xfId="0" applyNumberFormat="1" applyFont="1" applyBorder="1" applyAlignment="1">
      <alignment vertical="center"/>
    </xf>
    <xf numFmtId="0" fontId="23" fillId="0" borderId="9" xfId="0" applyFont="1" applyBorder="1" applyAlignment="1">
      <alignment vertical="center"/>
    </xf>
    <xf numFmtId="0" fontId="23" fillId="0" borderId="0" xfId="0" applyFont="1" applyFill="1" applyBorder="1"/>
    <xf numFmtId="0" fontId="23" fillId="0" borderId="18" xfId="0" applyFont="1" applyBorder="1" applyAlignment="1">
      <alignment vertical="center"/>
    </xf>
    <xf numFmtId="0" fontId="23" fillId="0" borderId="26" xfId="0" applyFont="1" applyBorder="1" applyAlignment="1">
      <alignment horizontal="center" vertical="center"/>
    </xf>
    <xf numFmtId="10" fontId="23" fillId="0" borderId="26" xfId="0" applyNumberFormat="1" applyFont="1" applyBorder="1" applyAlignment="1">
      <alignment vertical="center"/>
    </xf>
    <xf numFmtId="0" fontId="23" fillId="0" borderId="13" xfId="0" applyFont="1" applyBorder="1" applyAlignment="1">
      <alignment vertical="center"/>
    </xf>
    <xf numFmtId="4" fontId="23" fillId="5" borderId="27" xfId="0" applyNumberFormat="1" applyFont="1" applyFill="1" applyBorder="1" applyAlignment="1">
      <alignment vertical="center"/>
    </xf>
    <xf numFmtId="169" fontId="23" fillId="0" borderId="27" xfId="0" applyNumberFormat="1" applyFont="1" applyBorder="1" applyAlignment="1">
      <alignment vertical="center"/>
    </xf>
    <xf numFmtId="4" fontId="23" fillId="5" borderId="40" xfId="0" applyNumberFormat="1" applyFont="1" applyFill="1" applyBorder="1" applyAlignment="1">
      <alignment vertical="center"/>
    </xf>
    <xf numFmtId="169" fontId="23" fillId="0" borderId="40" xfId="0" applyNumberFormat="1" applyFont="1" applyBorder="1" applyAlignment="1">
      <alignment vertical="center"/>
    </xf>
    <xf numFmtId="10" fontId="23" fillId="0" borderId="23" xfId="0" applyNumberFormat="1" applyFont="1" applyBorder="1" applyAlignment="1">
      <alignment vertical="center"/>
    </xf>
    <xf numFmtId="0" fontId="27" fillId="0" borderId="18" xfId="0" applyFont="1" applyBorder="1" applyAlignment="1">
      <alignment vertical="center"/>
    </xf>
    <xf numFmtId="10" fontId="27" fillId="0" borderId="22" xfId="0" applyNumberFormat="1" applyFont="1" applyBorder="1" applyAlignment="1">
      <alignment vertical="center"/>
    </xf>
    <xf numFmtId="0" fontId="23" fillId="0" borderId="14" xfId="0" applyFont="1" applyBorder="1" applyAlignment="1">
      <alignment vertical="center"/>
    </xf>
    <xf numFmtId="9" fontId="23" fillId="0" borderId="17" xfId="0" applyNumberFormat="1" applyFont="1" applyBorder="1" applyAlignment="1">
      <alignment vertical="center"/>
    </xf>
    <xf numFmtId="2" fontId="23" fillId="0" borderId="30" xfId="0" applyNumberFormat="1" applyFont="1" applyFill="1" applyBorder="1" applyAlignment="1" applyProtection="1">
      <alignment vertical="center"/>
    </xf>
    <xf numFmtId="2" fontId="23" fillId="0" borderId="21" xfId="0" applyNumberFormat="1" applyFont="1" applyBorder="1" applyAlignment="1">
      <alignment vertical="center"/>
    </xf>
    <xf numFmtId="167" fontId="23" fillId="0" borderId="26" xfId="0" applyNumberFormat="1" applyFont="1" applyBorder="1" applyAlignment="1">
      <alignment horizontal="center" vertical="center"/>
    </xf>
    <xf numFmtId="167" fontId="23" fillId="0" borderId="18" xfId="0" applyNumberFormat="1" applyFont="1" applyBorder="1" applyAlignment="1">
      <alignment vertical="center"/>
    </xf>
    <xf numFmtId="167" fontId="23" fillId="0" borderId="22" xfId="0" applyNumberFormat="1" applyFont="1" applyBorder="1" applyAlignment="1">
      <alignment vertical="center"/>
    </xf>
    <xf numFmtId="0" fontId="23" fillId="0" borderId="30" xfId="0" applyFont="1" applyBorder="1" applyAlignment="1">
      <alignment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167" fontId="23" fillId="0" borderId="30" xfId="0" applyNumberFormat="1" applyFont="1" applyBorder="1" applyAlignment="1">
      <alignment horizontal="center" vertical="center"/>
    </xf>
    <xf numFmtId="0" fontId="27" fillId="0" borderId="21" xfId="0" applyFont="1" applyBorder="1" applyAlignment="1">
      <alignment vertical="center"/>
    </xf>
    <xf numFmtId="0" fontId="23" fillId="0" borderId="0" xfId="0" applyFont="1" applyAlignment="1">
      <alignment wrapText="1"/>
    </xf>
    <xf numFmtId="0" fontId="23" fillId="0" borderId="19" xfId="0" applyFont="1" applyBorder="1" applyAlignment="1">
      <alignment vertical="center"/>
    </xf>
    <xf numFmtId="4" fontId="23" fillId="0" borderId="25" xfId="0" applyNumberFormat="1" applyFont="1" applyBorder="1" applyAlignment="1">
      <alignment vertical="center"/>
    </xf>
    <xf numFmtId="4" fontId="23" fillId="0" borderId="9" xfId="0" applyNumberFormat="1" applyFont="1" applyBorder="1" applyAlignment="1">
      <alignment vertical="center"/>
    </xf>
    <xf numFmtId="4" fontId="23" fillId="0" borderId="13" xfId="0" applyNumberFormat="1" applyFont="1" applyBorder="1" applyAlignment="1">
      <alignment vertical="center"/>
    </xf>
    <xf numFmtId="4" fontId="23" fillId="0" borderId="0" xfId="0" applyNumberFormat="1" applyFont="1" applyBorder="1" applyAlignment="1">
      <alignment vertical="center"/>
    </xf>
    <xf numFmtId="10" fontId="23" fillId="0" borderId="27" xfId="0" applyNumberFormat="1" applyFont="1" applyBorder="1" applyAlignment="1">
      <alignment vertical="center"/>
    </xf>
    <xf numFmtId="10" fontId="23" fillId="0" borderId="40" xfId="0" applyNumberFormat="1" applyFont="1" applyBorder="1" applyAlignment="1">
      <alignment vertical="center"/>
    </xf>
    <xf numFmtId="0" fontId="23" fillId="0" borderId="33" xfId="0" applyFont="1" applyBorder="1" applyAlignment="1">
      <alignment vertical="center"/>
    </xf>
    <xf numFmtId="0" fontId="23" fillId="0" borderId="8" xfId="0" applyFont="1" applyBorder="1" applyAlignment="1">
      <alignment vertical="center"/>
    </xf>
    <xf numFmtId="0" fontId="27" fillId="0" borderId="17" xfId="0" applyFont="1" applyBorder="1" applyAlignment="1">
      <alignment vertical="center"/>
    </xf>
    <xf numFmtId="0" fontId="27" fillId="0" borderId="26" xfId="0" applyFont="1" applyBorder="1" applyAlignment="1">
      <alignment horizontal="center" vertical="center"/>
    </xf>
    <xf numFmtId="167" fontId="23" fillId="0" borderId="17" xfId="0" applyNumberFormat="1" applyFont="1" applyBorder="1" applyAlignment="1">
      <alignment vertical="center"/>
    </xf>
    <xf numFmtId="167" fontId="23" fillId="0" borderId="18" xfId="0" applyNumberFormat="1" applyFont="1" applyBorder="1" applyAlignment="1">
      <alignment horizontal="center" vertical="center"/>
    </xf>
    <xf numFmtId="167" fontId="23" fillId="0" borderId="31" xfId="0" applyNumberFormat="1" applyFont="1" applyBorder="1" applyAlignment="1">
      <alignment horizontal="center" vertical="center"/>
    </xf>
    <xf numFmtId="0" fontId="34" fillId="0" borderId="11" xfId="0" applyFont="1" applyBorder="1" applyAlignment="1">
      <alignment horizontal="center" vertical="center"/>
    </xf>
    <xf numFmtId="10" fontId="27" fillId="0" borderId="0" xfId="0" applyNumberFormat="1" applyFont="1" applyBorder="1"/>
    <xf numFmtId="0" fontId="37" fillId="0" borderId="29" xfId="0" applyFont="1" applyBorder="1" applyAlignment="1">
      <alignment vertical="top"/>
    </xf>
    <xf numFmtId="170" fontId="2" fillId="0" borderId="28" xfId="0" applyNumberFormat="1" applyFont="1" applyBorder="1" applyAlignment="1">
      <alignment horizontal="left" vertical="top"/>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21" fillId="0" borderId="13" xfId="0" applyFont="1" applyBorder="1" applyAlignment="1">
      <alignment horizontal="center" vertical="center"/>
    </xf>
    <xf numFmtId="0" fontId="21" fillId="0" borderId="13" xfId="0" applyFont="1" applyFill="1" applyBorder="1" applyAlignment="1">
      <alignment horizontal="center" vertical="center"/>
    </xf>
    <xf numFmtId="165" fontId="45" fillId="0" borderId="13" xfId="5" applyNumberFormat="1" applyFont="1" applyBorder="1" applyAlignment="1">
      <alignment vertical="center"/>
    </xf>
    <xf numFmtId="2" fontId="45" fillId="0" borderId="27" xfId="0" applyNumberFormat="1" applyFont="1" applyBorder="1" applyAlignment="1">
      <alignment vertical="center"/>
    </xf>
    <xf numFmtId="0" fontId="45" fillId="0" borderId="14" xfId="0" applyFont="1" applyBorder="1" applyAlignment="1">
      <alignment vertical="center"/>
    </xf>
    <xf numFmtId="0" fontId="45" fillId="0" borderId="27" xfId="0" applyFont="1" applyBorder="1" applyAlignment="1">
      <alignment vertical="center"/>
    </xf>
    <xf numFmtId="0" fontId="45" fillId="0" borderId="0" xfId="0" applyFont="1" applyBorder="1" applyAlignment="1">
      <alignment vertical="center"/>
    </xf>
    <xf numFmtId="0" fontId="45" fillId="0" borderId="9" xfId="0" applyFont="1" applyBorder="1" applyAlignment="1">
      <alignment vertical="center"/>
    </xf>
    <xf numFmtId="0" fontId="45" fillId="0" borderId="40" xfId="0" applyFont="1" applyBorder="1" applyAlignment="1">
      <alignment vertical="center"/>
    </xf>
    <xf numFmtId="0" fontId="20" fillId="0" borderId="26" xfId="0" applyFont="1" applyFill="1" applyBorder="1" applyAlignment="1">
      <alignment horizontal="center" vertical="top" wrapText="1"/>
    </xf>
    <xf numFmtId="0" fontId="23" fillId="0" borderId="0" xfId="0" applyFont="1" applyBorder="1" applyAlignment="1">
      <alignment horizontal="center" vertical="center" wrapText="1"/>
    </xf>
    <xf numFmtId="0" fontId="23" fillId="0" borderId="0" xfId="0" applyFont="1" applyBorder="1" applyAlignment="1">
      <alignment horizontal="center" wrapText="1"/>
    </xf>
    <xf numFmtId="0" fontId="23" fillId="0" borderId="18" xfId="0" applyFont="1" applyBorder="1"/>
    <xf numFmtId="10" fontId="23" fillId="0" borderId="0" xfId="9" applyNumberFormat="1" applyFont="1" applyFill="1" applyBorder="1"/>
    <xf numFmtId="10" fontId="27" fillId="0" borderId="0" xfId="0" applyNumberFormat="1" applyFont="1" applyFill="1" applyBorder="1"/>
    <xf numFmtId="4" fontId="27" fillId="0" borderId="8" xfId="0" applyNumberFormat="1" applyFont="1" applyBorder="1" applyAlignment="1">
      <alignment vertical="center"/>
    </xf>
    <xf numFmtId="0" fontId="23" fillId="0" borderId="18" xfId="0" applyFont="1" applyBorder="1" applyAlignment="1">
      <alignment horizontal="center" vertical="center" wrapText="1"/>
    </xf>
    <xf numFmtId="167" fontId="23" fillId="0" borderId="31" xfId="0" applyNumberFormat="1" applyFont="1" applyBorder="1" applyAlignment="1">
      <alignment vertical="center"/>
    </xf>
    <xf numFmtId="167" fontId="23" fillId="0" borderId="21" xfId="0" applyNumberFormat="1" applyFont="1" applyBorder="1" applyAlignment="1">
      <alignment vertical="center"/>
    </xf>
    <xf numFmtId="0" fontId="34" fillId="0" borderId="11" xfId="0" applyFont="1" applyFill="1" applyBorder="1" applyAlignment="1">
      <alignment horizontal="center" vertical="center"/>
    </xf>
    <xf numFmtId="10" fontId="23" fillId="0" borderId="18" xfId="9" applyNumberFormat="1" applyFont="1" applyBorder="1" applyAlignment="1">
      <alignment vertical="center"/>
    </xf>
    <xf numFmtId="10" fontId="27" fillId="0" borderId="8" xfId="9" applyNumberFormat="1" applyFont="1" applyBorder="1" applyAlignment="1">
      <alignment vertical="center"/>
    </xf>
    <xf numFmtId="167" fontId="23" fillId="0" borderId="13" xfId="0" applyNumberFormat="1" applyFont="1" applyBorder="1" applyAlignment="1">
      <alignment vertical="center"/>
    </xf>
    <xf numFmtId="167" fontId="23" fillId="0" borderId="25" xfId="0" applyNumberFormat="1" applyFont="1" applyBorder="1" applyAlignment="1">
      <alignment vertical="center"/>
    </xf>
    <xf numFmtId="165" fontId="23" fillId="0" borderId="0" xfId="9" applyNumberFormat="1" applyFont="1" applyFill="1" applyBorder="1" applyAlignment="1">
      <alignment vertical="center"/>
    </xf>
    <xf numFmtId="2" fontId="23" fillId="0" borderId="26" xfId="0" applyNumberFormat="1" applyFont="1" applyBorder="1" applyAlignment="1">
      <alignment horizontal="center" vertical="center"/>
    </xf>
    <xf numFmtId="2" fontId="34" fillId="0" borderId="22" xfId="0" applyNumberFormat="1" applyFont="1" applyBorder="1" applyAlignment="1">
      <alignment horizontal="center" vertical="center"/>
    </xf>
    <xf numFmtId="2" fontId="23" fillId="0" borderId="18" xfId="0" applyNumberFormat="1" applyFont="1" applyBorder="1" applyAlignment="1">
      <alignment horizontal="center" vertical="center"/>
    </xf>
    <xf numFmtId="0" fontId="23" fillId="0" borderId="28" xfId="0" applyFont="1" applyBorder="1" applyAlignment="1">
      <alignment horizontal="center" vertical="center"/>
    </xf>
    <xf numFmtId="0" fontId="27" fillId="0" borderId="17" xfId="0" applyFont="1" applyBorder="1" applyAlignment="1">
      <alignment horizontal="left"/>
    </xf>
    <xf numFmtId="0" fontId="11" fillId="0" borderId="13" xfId="0" applyFont="1" applyBorder="1" applyAlignment="1">
      <alignment horizontal="left" vertical="center"/>
    </xf>
    <xf numFmtId="179" fontId="34" fillId="3" borderId="11"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xf>
    <xf numFmtId="179" fontId="34" fillId="3" borderId="26" xfId="0" applyNumberFormat="1" applyFont="1" applyFill="1" applyBorder="1" applyAlignment="1" applyProtection="1">
      <alignment horizontal="center" vertical="center"/>
      <protection locked="0"/>
    </xf>
    <xf numFmtId="0" fontId="16" fillId="0" borderId="19" xfId="0" applyFont="1" applyBorder="1" applyAlignment="1">
      <alignment horizontal="right" vertical="center"/>
    </xf>
    <xf numFmtId="167" fontId="23" fillId="0" borderId="17" xfId="0" applyNumberFormat="1" applyFont="1" applyBorder="1" applyAlignment="1">
      <alignment horizontal="center" vertical="center"/>
    </xf>
    <xf numFmtId="0" fontId="27" fillId="0" borderId="0" xfId="0" applyFont="1" applyBorder="1" applyAlignment="1">
      <alignment horizontal="center" vertical="center"/>
    </xf>
    <xf numFmtId="10" fontId="27" fillId="0" borderId="27" xfId="9" applyFont="1" applyBorder="1" applyAlignment="1">
      <alignment vertical="center"/>
    </xf>
    <xf numFmtId="167" fontId="23" fillId="0" borderId="0" xfId="0" applyNumberFormat="1" applyFont="1" applyBorder="1" applyAlignment="1">
      <alignment horizontal="center" vertical="center"/>
    </xf>
    <xf numFmtId="10" fontId="34" fillId="0" borderId="28" xfId="9" applyFont="1" applyBorder="1" applyAlignment="1">
      <alignment horizontal="center" vertical="center"/>
    </xf>
    <xf numFmtId="0" fontId="27" fillId="0" borderId="13" xfId="0" applyFont="1" applyBorder="1" applyAlignment="1">
      <alignment vertical="center"/>
    </xf>
    <xf numFmtId="167" fontId="23" fillId="0" borderId="27" xfId="0" applyNumberFormat="1" applyFont="1" applyBorder="1" applyAlignment="1">
      <alignment horizontal="center" vertical="center"/>
    </xf>
    <xf numFmtId="167" fontId="23" fillId="0" borderId="13" xfId="0" applyNumberFormat="1" applyFont="1" applyBorder="1" applyAlignment="1">
      <alignment horizontal="center" vertical="center"/>
    </xf>
    <xf numFmtId="10" fontId="16" fillId="0" borderId="22" xfId="9" applyFont="1" applyBorder="1" applyAlignment="1">
      <alignment vertical="center"/>
    </xf>
    <xf numFmtId="0" fontId="9" fillId="0" borderId="26" xfId="0" applyFont="1" applyFill="1" applyBorder="1" applyAlignment="1">
      <alignment horizontal="center"/>
    </xf>
    <xf numFmtId="4" fontId="23" fillId="0" borderId="6" xfId="0" applyNumberFormat="1" applyFont="1" applyBorder="1" applyAlignment="1">
      <alignment vertical="center"/>
    </xf>
    <xf numFmtId="10" fontId="34" fillId="0" borderId="43" xfId="9" applyNumberFormat="1" applyFont="1" applyFill="1" applyBorder="1" applyAlignment="1">
      <alignment horizontal="center" vertical="center"/>
    </xf>
    <xf numFmtId="10" fontId="23" fillId="0" borderId="42" xfId="9" applyNumberFormat="1" applyFont="1" applyFill="1" applyBorder="1" applyAlignment="1" applyProtection="1">
      <alignment vertical="center"/>
    </xf>
    <xf numFmtId="167" fontId="23" fillId="0" borderId="26" xfId="0" applyNumberFormat="1" applyFont="1" applyBorder="1" applyAlignment="1" applyProtection="1">
      <alignment vertical="center"/>
    </xf>
    <xf numFmtId="167" fontId="23" fillId="0" borderId="30" xfId="0" applyNumberFormat="1" applyFont="1" applyBorder="1" applyAlignment="1" applyProtection="1">
      <alignment vertical="center"/>
    </xf>
    <xf numFmtId="167" fontId="23" fillId="0" borderId="40" xfId="0" applyNumberFormat="1" applyFont="1" applyBorder="1" applyAlignment="1" applyProtection="1">
      <alignment vertical="center"/>
    </xf>
    <xf numFmtId="167" fontId="23" fillId="0" borderId="34" xfId="0" applyNumberFormat="1" applyFont="1" applyBorder="1" applyAlignment="1">
      <alignment vertical="center"/>
    </xf>
    <xf numFmtId="0" fontId="20" fillId="0" borderId="0" xfId="0" applyFont="1" applyBorder="1"/>
    <xf numFmtId="0" fontId="20" fillId="0" borderId="14" xfId="0" applyFont="1" applyBorder="1"/>
    <xf numFmtId="10" fontId="27" fillId="0" borderId="23" xfId="0" applyNumberFormat="1" applyFont="1" applyBorder="1"/>
    <xf numFmtId="0" fontId="27" fillId="0" borderId="21" xfId="0" applyFont="1" applyBorder="1" applyAlignment="1">
      <alignment horizontal="left"/>
    </xf>
    <xf numFmtId="0" fontId="23" fillId="0" borderId="13" xfId="0" applyFont="1" applyFill="1" applyBorder="1"/>
    <xf numFmtId="0" fontId="12" fillId="0" borderId="23" xfId="0" applyFont="1" applyBorder="1" applyAlignment="1">
      <alignment horizontal="center" vertical="center"/>
    </xf>
    <xf numFmtId="9" fontId="14" fillId="0" borderId="34" xfId="9" applyNumberFormat="1" applyFont="1" applyBorder="1" applyAlignment="1">
      <alignment horizontal="right" vertical="center"/>
    </xf>
    <xf numFmtId="4" fontId="45" fillId="0" borderId="34" xfId="5" applyFont="1" applyBorder="1" applyAlignment="1">
      <alignment vertical="center"/>
    </xf>
    <xf numFmtId="0" fontId="14" fillId="0" borderId="33" xfId="0" applyFont="1" applyBorder="1" applyAlignment="1">
      <alignment vertical="center"/>
    </xf>
    <xf numFmtId="0" fontId="23" fillId="9" borderId="26" xfId="0" applyFont="1" applyFill="1" applyBorder="1"/>
    <xf numFmtId="4" fontId="23" fillId="0" borderId="8" xfId="0" applyNumberFormat="1" applyFont="1" applyBorder="1" applyAlignment="1">
      <alignment vertical="center"/>
    </xf>
    <xf numFmtId="4" fontId="23" fillId="5" borderId="8" xfId="0" applyNumberFormat="1" applyFont="1" applyFill="1" applyBorder="1" applyAlignment="1">
      <alignment vertical="center"/>
    </xf>
    <xf numFmtId="10" fontId="27" fillId="0" borderId="0" xfId="0" applyNumberFormat="1" applyFont="1" applyBorder="1" applyAlignment="1">
      <alignment vertical="center"/>
    </xf>
    <xf numFmtId="0" fontId="11" fillId="0" borderId="18" xfId="0" applyFont="1" applyBorder="1" applyAlignment="1">
      <alignment vertical="center"/>
    </xf>
    <xf numFmtId="167" fontId="23" fillId="0" borderId="27" xfId="0" applyNumberFormat="1" applyFont="1" applyBorder="1" applyAlignment="1">
      <alignment vertical="center"/>
    </xf>
    <xf numFmtId="0" fontId="23" fillId="9" borderId="30" xfId="0" applyFont="1" applyFill="1" applyBorder="1"/>
    <xf numFmtId="0" fontId="27" fillId="0" borderId="20" xfId="0" applyFont="1" applyBorder="1" applyAlignment="1">
      <alignment vertical="center"/>
    </xf>
    <xf numFmtId="10" fontId="27" fillId="0" borderId="11" xfId="0" applyNumberFormat="1" applyFont="1" applyBorder="1" applyAlignment="1">
      <alignment vertical="center"/>
    </xf>
    <xf numFmtId="0" fontId="20" fillId="0" borderId="11" xfId="0" applyFont="1" applyBorder="1"/>
    <xf numFmtId="0" fontId="20" fillId="0" borderId="24" xfId="0" applyFont="1" applyBorder="1"/>
    <xf numFmtId="0" fontId="20" fillId="0" borderId="17" xfId="0" applyFont="1" applyBorder="1"/>
    <xf numFmtId="0" fontId="20" fillId="0" borderId="23" xfId="0" applyFont="1" applyBorder="1"/>
    <xf numFmtId="0" fontId="23" fillId="4" borderId="13" xfId="0" applyFont="1" applyFill="1" applyBorder="1"/>
    <xf numFmtId="0" fontId="29" fillId="0" borderId="0" xfId="0" applyFont="1" applyFill="1" applyBorder="1" applyAlignment="1">
      <alignment horizontal="center" vertical="center"/>
    </xf>
    <xf numFmtId="0" fontId="12" fillId="0" borderId="22" xfId="0" applyFont="1" applyBorder="1" applyAlignment="1">
      <alignment horizontal="center" vertical="center"/>
    </xf>
    <xf numFmtId="0" fontId="56" fillId="0" borderId="24" xfId="0" applyFont="1" applyBorder="1" applyAlignment="1">
      <alignment horizontal="center" vertical="center"/>
    </xf>
    <xf numFmtId="0" fontId="56" fillId="0" borderId="23" xfId="0" applyFont="1" applyBorder="1" applyAlignment="1">
      <alignment horizontal="center" vertical="center"/>
    </xf>
    <xf numFmtId="0" fontId="11" fillId="0" borderId="18" xfId="0" applyFont="1" applyBorder="1" applyAlignment="1">
      <alignment horizontal="center" vertical="center" wrapText="1"/>
    </xf>
    <xf numFmtId="0" fontId="13" fillId="0" borderId="27" xfId="0" applyFont="1" applyBorder="1" applyAlignment="1">
      <alignment horizontal="center" vertical="center"/>
    </xf>
    <xf numFmtId="0" fontId="10" fillId="0" borderId="0" xfId="0" applyFont="1" applyBorder="1" applyAlignment="1">
      <alignment vertical="center"/>
    </xf>
    <xf numFmtId="9" fontId="45" fillId="0" borderId="0" xfId="9" applyNumberFormat="1" applyFont="1" applyBorder="1"/>
    <xf numFmtId="0" fontId="0" fillId="0" borderId="14" xfId="0" applyFill="1" applyBorder="1"/>
    <xf numFmtId="182" fontId="20" fillId="0" borderId="13" xfId="0" applyNumberFormat="1" applyFont="1" applyFill="1" applyBorder="1" applyProtection="1"/>
    <xf numFmtId="182" fontId="20" fillId="0" borderId="0" xfId="0" applyNumberFormat="1" applyFont="1" applyFill="1" applyBorder="1" applyAlignment="1" applyProtection="1">
      <alignment horizontal="center"/>
    </xf>
    <xf numFmtId="0" fontId="25" fillId="0" borderId="18" xfId="0" applyFont="1" applyBorder="1"/>
    <xf numFmtId="0" fontId="25" fillId="0" borderId="26" xfId="0" applyFont="1" applyBorder="1" applyAlignment="1">
      <alignment horizontal="center" vertical="top" wrapText="1"/>
    </xf>
    <xf numFmtId="9" fontId="20" fillId="10" borderId="29" xfId="0" quotePrefix="1" applyNumberFormat="1" applyFont="1" applyFill="1" applyBorder="1" applyProtection="1">
      <protection locked="0"/>
    </xf>
    <xf numFmtId="9" fontId="20" fillId="10" borderId="27" xfId="0" quotePrefix="1" applyNumberFormat="1" applyFont="1" applyFill="1" applyBorder="1" applyProtection="1">
      <protection locked="0"/>
    </xf>
    <xf numFmtId="9" fontId="20" fillId="10" borderId="28" xfId="0" quotePrefix="1" applyNumberFormat="1" applyFont="1" applyFill="1" applyBorder="1" applyProtection="1">
      <protection locked="0"/>
    </xf>
    <xf numFmtId="183" fontId="20" fillId="0" borderId="29" xfId="0" applyNumberFormat="1" applyFont="1" applyFill="1" applyBorder="1" applyProtection="1"/>
    <xf numFmtId="183" fontId="20" fillId="0" borderId="27" xfId="0" applyNumberFormat="1" applyFont="1" applyFill="1" applyBorder="1" applyProtection="1"/>
    <xf numFmtId="183" fontId="20" fillId="0" borderId="28" xfId="0" applyNumberFormat="1" applyFont="1" applyFill="1" applyBorder="1" applyProtection="1"/>
    <xf numFmtId="9" fontId="20" fillId="0" borderId="27" xfId="10" applyNumberFormat="1" applyFont="1" applyFill="1" applyBorder="1" applyProtection="1"/>
    <xf numFmtId="0" fontId="25" fillId="0" borderId="26" xfId="0" applyFont="1" applyFill="1" applyBorder="1"/>
    <xf numFmtId="0" fontId="25" fillId="0" borderId="26" xfId="0" applyFont="1" applyFill="1" applyBorder="1" applyAlignment="1">
      <alignment horizontal="center"/>
    </xf>
    <xf numFmtId="182" fontId="20" fillId="0" borderId="20" xfId="0" applyNumberFormat="1" applyFont="1" applyFill="1" applyBorder="1" applyProtection="1"/>
    <xf numFmtId="182" fontId="20" fillId="0" borderId="21" xfId="0" applyNumberFormat="1" applyFont="1" applyFill="1" applyBorder="1" applyProtection="1"/>
    <xf numFmtId="167" fontId="25" fillId="0" borderId="27" xfId="0" applyNumberFormat="1" applyFont="1" applyFill="1" applyBorder="1"/>
    <xf numFmtId="0" fontId="20" fillId="0" borderId="26" xfId="0" applyFont="1" applyBorder="1"/>
    <xf numFmtId="0" fontId="25" fillId="0" borderId="26" xfId="0" applyFont="1" applyBorder="1" applyAlignment="1" applyProtection="1">
      <alignment horizontal="center"/>
    </xf>
    <xf numFmtId="0" fontId="25" fillId="0" borderId="26" xfId="0" applyFont="1" applyBorder="1" applyProtection="1"/>
    <xf numFmtId="0" fontId="20" fillId="0" borderId="26" xfId="0" applyFont="1" applyBorder="1" applyAlignment="1">
      <alignment horizontal="center"/>
    </xf>
    <xf numFmtId="0" fontId="25" fillId="0" borderId="26" xfId="0" applyFont="1" applyBorder="1"/>
    <xf numFmtId="10" fontId="20" fillId="0" borderId="27" xfId="10" applyNumberFormat="1" applyFont="1" applyFill="1" applyBorder="1" applyProtection="1"/>
    <xf numFmtId="10" fontId="37" fillId="0" borderId="28" xfId="19" applyNumberFormat="1" applyFont="1" applyBorder="1" applyAlignment="1">
      <alignment horizontal="right" vertical="center"/>
    </xf>
    <xf numFmtId="10" fontId="23" fillId="0" borderId="26" xfId="9" applyNumberFormat="1" applyFont="1" applyFill="1" applyBorder="1" applyAlignment="1">
      <alignment horizontal="right"/>
    </xf>
    <xf numFmtId="10" fontId="2" fillId="0" borderId="26" xfId="19" applyNumberFormat="1" applyFont="1" applyBorder="1" applyAlignment="1">
      <alignment horizontal="right" vertical="center"/>
    </xf>
    <xf numFmtId="167" fontId="25" fillId="0" borderId="27" xfId="0" applyNumberFormat="1" applyFont="1" applyBorder="1"/>
    <xf numFmtId="10" fontId="23" fillId="0" borderId="24" xfId="9" applyNumberFormat="1" applyFont="1" applyFill="1" applyBorder="1"/>
    <xf numFmtId="10" fontId="23" fillId="0" borderId="14" xfId="9" applyNumberFormat="1" applyFont="1" applyFill="1" applyBorder="1"/>
    <xf numFmtId="10" fontId="23" fillId="0" borderId="23" xfId="9" applyNumberFormat="1" applyFont="1" applyFill="1" applyBorder="1"/>
    <xf numFmtId="0" fontId="23" fillId="0" borderId="24" xfId="0" applyFont="1" applyBorder="1" applyAlignment="1">
      <alignment horizontal="center" wrapText="1"/>
    </xf>
    <xf numFmtId="0" fontId="27" fillId="0" borderId="29" xfId="0" applyFont="1" applyBorder="1"/>
    <xf numFmtId="49" fontId="23" fillId="0" borderId="29" xfId="9" applyNumberFormat="1" applyFont="1" applyFill="1" applyBorder="1"/>
    <xf numFmtId="49" fontId="23" fillId="0" borderId="27" xfId="9" applyNumberFormat="1" applyFont="1" applyFill="1" applyBorder="1"/>
    <xf numFmtId="49" fontId="23" fillId="0" borderId="28" xfId="9" applyNumberFormat="1" applyFont="1" applyFill="1" applyBorder="1"/>
    <xf numFmtId="0" fontId="27" fillId="0" borderId="28" xfId="0" applyFont="1" applyBorder="1"/>
    <xf numFmtId="14" fontId="20" fillId="0" borderId="19" xfId="0" applyNumberFormat="1" applyFont="1" applyBorder="1"/>
    <xf numFmtId="0" fontId="13" fillId="0" borderId="18" xfId="0" applyFont="1" applyBorder="1" applyAlignment="1">
      <alignment horizontal="center" vertical="center"/>
    </xf>
    <xf numFmtId="16" fontId="13" fillId="0" borderId="53" xfId="0" quotePrefix="1" applyNumberFormat="1" applyFont="1" applyFill="1" applyBorder="1" applyAlignment="1">
      <alignment horizontal="center" vertical="center"/>
    </xf>
    <xf numFmtId="2" fontId="23" fillId="2" borderId="28" xfId="0" applyNumberFormat="1" applyFont="1" applyFill="1" applyBorder="1" applyAlignment="1" applyProtection="1">
      <alignment vertical="center"/>
      <protection locked="0"/>
    </xf>
    <xf numFmtId="0" fontId="23" fillId="0" borderId="30" xfId="0" applyFont="1" applyBorder="1" applyAlignment="1">
      <alignment horizontal="center" vertical="center" wrapText="1"/>
    </xf>
    <xf numFmtId="174" fontId="23" fillId="0" borderId="28" xfId="0" applyNumberFormat="1" applyFont="1" applyBorder="1" applyAlignment="1">
      <alignment vertical="center"/>
    </xf>
    <xf numFmtId="174" fontId="23" fillId="0" borderId="28" xfId="9" applyNumberFormat="1" applyFont="1" applyBorder="1" applyAlignment="1">
      <alignment vertical="center"/>
    </xf>
    <xf numFmtId="165" fontId="23" fillId="0" borderId="28" xfId="9" applyNumberFormat="1" applyFont="1" applyBorder="1" applyAlignment="1">
      <alignment vertical="center"/>
    </xf>
    <xf numFmtId="10" fontId="23" fillId="0" borderId="28" xfId="9" applyNumberFormat="1" applyFont="1" applyBorder="1" applyAlignment="1">
      <alignment vertical="center"/>
    </xf>
    <xf numFmtId="4" fontId="34" fillId="0" borderId="30" xfId="0" quotePrefix="1" applyNumberFormat="1" applyFont="1" applyBorder="1" applyAlignment="1">
      <alignment horizontal="center" vertical="center" wrapText="1"/>
    </xf>
    <xf numFmtId="10" fontId="23" fillId="2" borderId="40" xfId="9" applyFont="1" applyFill="1" applyBorder="1" applyAlignment="1" applyProtection="1">
      <alignment vertical="center"/>
      <protection locked="0"/>
    </xf>
    <xf numFmtId="167" fontId="23" fillId="0" borderId="28" xfId="0" applyNumberFormat="1" applyFont="1" applyBorder="1" applyAlignment="1" applyProtection="1">
      <alignment vertical="center"/>
    </xf>
    <xf numFmtId="44" fontId="23" fillId="0" borderId="8" xfId="0" applyNumberFormat="1" applyFont="1" applyFill="1" applyBorder="1" applyAlignment="1">
      <alignment vertical="center"/>
    </xf>
    <xf numFmtId="4" fontId="23" fillId="5" borderId="28" xfId="0" applyNumberFormat="1" applyFont="1" applyFill="1" applyBorder="1" applyAlignment="1">
      <alignment vertical="center"/>
    </xf>
    <xf numFmtId="10" fontId="23" fillId="0" borderId="30" xfId="9" applyNumberFormat="1" applyFont="1" applyBorder="1" applyAlignment="1">
      <alignment vertical="center"/>
    </xf>
    <xf numFmtId="0" fontId="23" fillId="9" borderId="28" xfId="0" applyFont="1" applyFill="1" applyBorder="1"/>
    <xf numFmtId="0" fontId="23" fillId="9" borderId="11" xfId="0" applyFont="1" applyFill="1" applyBorder="1"/>
    <xf numFmtId="0" fontId="23" fillId="9" borderId="0" xfId="0" applyFont="1" applyFill="1" applyBorder="1"/>
    <xf numFmtId="0" fontId="23" fillId="9" borderId="9" xfId="0" applyFont="1" applyFill="1" applyBorder="1"/>
    <xf numFmtId="0" fontId="15" fillId="2" borderId="18" xfId="0" applyFont="1" applyFill="1" applyBorder="1" applyAlignment="1">
      <alignment vertical="center"/>
    </xf>
    <xf numFmtId="0" fontId="15" fillId="2" borderId="19" xfId="0" applyFont="1" applyFill="1" applyBorder="1" applyAlignment="1">
      <alignment vertical="center"/>
    </xf>
    <xf numFmtId="0" fontId="10" fillId="0" borderId="17" xfId="0" applyFont="1" applyBorder="1" applyAlignment="1">
      <alignment horizontal="left" vertical="center"/>
    </xf>
    <xf numFmtId="0" fontId="63" fillId="0" borderId="17" xfId="0" applyFont="1" applyBorder="1" applyAlignment="1">
      <alignment horizontal="left" vertical="center"/>
    </xf>
    <xf numFmtId="10" fontId="23" fillId="2" borderId="26" xfId="0" applyNumberFormat="1" applyFont="1" applyFill="1" applyBorder="1" applyAlignment="1" applyProtection="1">
      <alignment vertical="center"/>
      <protection locked="0"/>
    </xf>
    <xf numFmtId="167" fontId="23" fillId="2" borderId="26" xfId="0" applyNumberFormat="1" applyFont="1" applyFill="1" applyBorder="1" applyAlignment="1" applyProtection="1">
      <alignment vertical="center"/>
      <protection locked="0"/>
    </xf>
    <xf numFmtId="167" fontId="23" fillId="2" borderId="18" xfId="0" applyNumberFormat="1" applyFont="1" applyFill="1" applyBorder="1" applyAlignment="1" applyProtection="1">
      <alignment vertical="center"/>
      <protection locked="0"/>
    </xf>
    <xf numFmtId="2" fontId="23" fillId="2" borderId="31" xfId="0" applyNumberFormat="1" applyFont="1" applyFill="1" applyBorder="1" applyAlignment="1" applyProtection="1">
      <alignment vertical="center"/>
      <protection locked="0"/>
    </xf>
    <xf numFmtId="10" fontId="23" fillId="2" borderId="30" xfId="9" applyFont="1" applyFill="1" applyBorder="1" applyAlignment="1" applyProtection="1">
      <alignment vertical="center"/>
      <protection locked="0"/>
    </xf>
    <xf numFmtId="0" fontId="20" fillId="0" borderId="20" xfId="0" applyFont="1" applyBorder="1" applyAlignment="1" applyProtection="1">
      <alignment horizontal="right" vertical="center"/>
    </xf>
    <xf numFmtId="0" fontId="20" fillId="0" borderId="18" xfId="0" applyFont="1" applyBorder="1" applyAlignment="1" applyProtection="1">
      <alignment horizontal="right" vertical="center"/>
    </xf>
    <xf numFmtId="14" fontId="25" fillId="0" borderId="29" xfId="0" applyNumberFormat="1" applyFont="1" applyFill="1" applyBorder="1" applyAlignment="1" applyProtection="1">
      <alignment vertical="center"/>
    </xf>
    <xf numFmtId="10" fontId="67" fillId="0" borderId="13" xfId="5" applyNumberFormat="1" applyFont="1" applyBorder="1" applyAlignment="1">
      <alignment vertical="center"/>
    </xf>
    <xf numFmtId="165" fontId="23" fillId="0" borderId="28" xfId="0" applyNumberFormat="1" applyFont="1" applyBorder="1" applyAlignment="1">
      <alignment vertical="center"/>
    </xf>
    <xf numFmtId="167" fontId="27" fillId="0" borderId="28" xfId="0" applyNumberFormat="1" applyFont="1" applyBorder="1" applyAlignment="1">
      <alignment vertical="center"/>
    </xf>
    <xf numFmtId="170" fontId="27" fillId="0" borderId="24" xfId="9" applyNumberFormat="1" applyFont="1" applyFill="1" applyBorder="1" applyAlignment="1">
      <alignment horizontal="center"/>
    </xf>
    <xf numFmtId="0" fontId="68" fillId="0" borderId="8" xfId="0" applyFont="1" applyBorder="1" applyAlignment="1">
      <alignment vertical="center"/>
    </xf>
    <xf numFmtId="0" fontId="34" fillId="0" borderId="0" xfId="0" applyFont="1" applyBorder="1" applyAlignment="1">
      <alignment horizontal="center" vertical="center"/>
    </xf>
    <xf numFmtId="0" fontId="68" fillId="0" borderId="19" xfId="0" applyFont="1" applyBorder="1" applyAlignment="1">
      <alignment horizontal="right" vertical="center"/>
    </xf>
    <xf numFmtId="0" fontId="68" fillId="0" borderId="19" xfId="0" applyFont="1" applyBorder="1" applyAlignment="1">
      <alignment horizontal="left" vertical="center"/>
    </xf>
    <xf numFmtId="0" fontId="23" fillId="0" borderId="37" xfId="0" applyFont="1" applyBorder="1" applyAlignment="1">
      <alignment vertical="center"/>
    </xf>
    <xf numFmtId="0" fontId="23" fillId="0" borderId="38" xfId="0" applyFont="1" applyBorder="1" applyAlignment="1">
      <alignment vertical="center"/>
    </xf>
    <xf numFmtId="0" fontId="70" fillId="0" borderId="0" xfId="0" applyFont="1" applyBorder="1"/>
    <xf numFmtId="0" fontId="71" fillId="0" borderId="0" xfId="0" applyFont="1" applyBorder="1"/>
    <xf numFmtId="0" fontId="23" fillId="0" borderId="0" xfId="0" applyFont="1" applyBorder="1" applyAlignment="1">
      <alignment wrapText="1"/>
    </xf>
    <xf numFmtId="9" fontId="20" fillId="0" borderId="28" xfId="10" applyNumberFormat="1" applyFont="1" applyFill="1" applyBorder="1" applyProtection="1"/>
    <xf numFmtId="0" fontId="20" fillId="0" borderId="0" xfId="0" applyFont="1" applyProtection="1">
      <protection locked="0"/>
    </xf>
    <xf numFmtId="0" fontId="23" fillId="2" borderId="29" xfId="0" applyFont="1" applyFill="1" applyBorder="1" applyAlignment="1" applyProtection="1">
      <alignment horizontal="left" vertical="center"/>
      <protection locked="0"/>
    </xf>
    <xf numFmtId="0" fontId="15" fillId="6" borderId="21" xfId="0" applyFont="1" applyFill="1" applyBorder="1" applyAlignment="1">
      <alignment vertical="center"/>
    </xf>
    <xf numFmtId="0" fontId="15" fillId="6" borderId="17" xfId="0" applyFont="1" applyFill="1" applyBorder="1" applyAlignment="1">
      <alignment vertical="center"/>
    </xf>
    <xf numFmtId="167" fontId="15" fillId="6" borderId="21" xfId="0" applyNumberFormat="1" applyFont="1" applyFill="1" applyBorder="1" applyAlignment="1">
      <alignment vertical="center"/>
    </xf>
    <xf numFmtId="0" fontId="15" fillId="6" borderId="18" xfId="0" applyFont="1" applyFill="1" applyBorder="1" applyAlignment="1">
      <alignment vertical="center"/>
    </xf>
    <xf numFmtId="0" fontId="15" fillId="6" borderId="19" xfId="0" applyFont="1" applyFill="1" applyBorder="1" applyAlignment="1">
      <alignment vertical="center"/>
    </xf>
    <xf numFmtId="0" fontId="15" fillId="8" borderId="19" xfId="0" applyFont="1" applyFill="1" applyBorder="1" applyAlignment="1">
      <alignment vertical="center"/>
    </xf>
    <xf numFmtId="179" fontId="34" fillId="3" borderId="18" xfId="0" applyNumberFormat="1" applyFont="1" applyFill="1" applyBorder="1" applyAlignment="1" applyProtection="1">
      <alignment horizontal="center" vertical="center"/>
      <protection locked="0"/>
    </xf>
    <xf numFmtId="10" fontId="23" fillId="2" borderId="31" xfId="9" applyFont="1" applyFill="1" applyBorder="1" applyAlignment="1" applyProtection="1">
      <alignment vertical="center"/>
      <protection locked="0"/>
    </xf>
    <xf numFmtId="10" fontId="27" fillId="0" borderId="13" xfId="9" applyFont="1" applyBorder="1" applyAlignment="1">
      <alignment vertical="center"/>
    </xf>
    <xf numFmtId="10" fontId="34" fillId="0" borderId="21" xfId="9" applyFont="1" applyBorder="1" applyAlignment="1">
      <alignment horizontal="center" vertical="center"/>
    </xf>
    <xf numFmtId="0" fontId="23" fillId="0" borderId="31" xfId="0" applyFont="1" applyBorder="1" applyAlignment="1">
      <alignment horizontal="center" vertical="center" wrapText="1"/>
    </xf>
    <xf numFmtId="167" fontId="27" fillId="0" borderId="21" xfId="0" applyNumberFormat="1" applyFont="1" applyBorder="1" applyAlignment="1">
      <alignment vertical="center"/>
    </xf>
    <xf numFmtId="2" fontId="34" fillId="0" borderId="19" xfId="0" applyNumberFormat="1" applyFont="1" applyFill="1" applyBorder="1" applyAlignment="1">
      <alignment horizontal="center" vertical="center"/>
    </xf>
    <xf numFmtId="10" fontId="23" fillId="2" borderId="25" xfId="9" applyFont="1" applyFill="1" applyBorder="1" applyAlignment="1" applyProtection="1">
      <alignment vertical="center"/>
      <protection locked="0"/>
    </xf>
    <xf numFmtId="4" fontId="34" fillId="0" borderId="31" xfId="0" quotePrefix="1" applyNumberFormat="1" applyFont="1" applyBorder="1" applyAlignment="1">
      <alignment horizontal="center" vertical="center" wrapText="1"/>
    </xf>
    <xf numFmtId="10" fontId="23" fillId="0" borderId="21" xfId="9" applyNumberFormat="1" applyFont="1" applyBorder="1" applyAlignment="1">
      <alignment vertical="center"/>
    </xf>
    <xf numFmtId="10" fontId="23" fillId="0" borderId="25" xfId="9" applyNumberFormat="1" applyFont="1" applyBorder="1" applyAlignment="1">
      <alignment vertical="center"/>
    </xf>
    <xf numFmtId="167" fontId="23" fillId="0" borderId="21" xfId="0" applyNumberFormat="1" applyFont="1" applyBorder="1" applyAlignment="1" applyProtection="1">
      <alignment vertical="center"/>
    </xf>
    <xf numFmtId="167" fontId="23" fillId="0" borderId="18" xfId="0" applyNumberFormat="1" applyFont="1" applyBorder="1" applyAlignment="1" applyProtection="1">
      <alignment vertical="center"/>
    </xf>
    <xf numFmtId="167" fontId="23" fillId="0" borderId="25" xfId="0" applyNumberFormat="1" applyFont="1" applyBorder="1" applyAlignment="1" applyProtection="1">
      <alignment vertical="center"/>
    </xf>
    <xf numFmtId="10" fontId="23" fillId="0" borderId="11" xfId="0" applyNumberFormat="1" applyFont="1" applyBorder="1"/>
    <xf numFmtId="10" fontId="27" fillId="0" borderId="17" xfId="0" applyNumberFormat="1" applyFont="1" applyBorder="1"/>
    <xf numFmtId="169" fontId="23" fillId="0" borderId="9" xfId="0" applyNumberFormat="1" applyFont="1" applyBorder="1" applyAlignment="1">
      <alignment vertical="center"/>
    </xf>
    <xf numFmtId="169" fontId="23" fillId="0" borderId="0" xfId="0" applyNumberFormat="1" applyFont="1" applyBorder="1" applyAlignment="1">
      <alignment vertical="center"/>
    </xf>
    <xf numFmtId="10" fontId="41" fillId="0" borderId="19" xfId="0" applyNumberFormat="1" applyFont="1" applyBorder="1" applyAlignment="1">
      <alignment vertical="center"/>
    </xf>
    <xf numFmtId="4" fontId="23" fillId="5" borderId="13" xfId="0" applyNumberFormat="1" applyFont="1" applyFill="1" applyBorder="1" applyAlignment="1">
      <alignment vertical="center"/>
    </xf>
    <xf numFmtId="4" fontId="23" fillId="5" borderId="25" xfId="0" applyNumberFormat="1" applyFont="1" applyFill="1" applyBorder="1" applyAlignment="1">
      <alignment vertical="center"/>
    </xf>
    <xf numFmtId="10" fontId="23" fillId="0" borderId="17" xfId="0" applyNumberFormat="1" applyFont="1" applyBorder="1" applyAlignment="1">
      <alignment vertical="center"/>
    </xf>
    <xf numFmtId="0" fontId="23" fillId="2" borderId="28" xfId="0" applyFont="1" applyFill="1" applyBorder="1" applyAlignment="1" applyProtection="1">
      <alignment horizontal="left" vertical="center"/>
      <protection locked="0"/>
    </xf>
    <xf numFmtId="0" fontId="72" fillId="4" borderId="19" xfId="0" applyFont="1" applyFill="1" applyBorder="1" applyAlignment="1">
      <alignment horizontal="center" vertical="center"/>
    </xf>
    <xf numFmtId="10" fontId="2" fillId="3" borderId="26" xfId="19" applyNumberFormat="1" applyFont="1" applyFill="1" applyBorder="1" applyAlignment="1" applyProtection="1">
      <alignment horizontal="right" vertical="center"/>
      <protection locked="0"/>
    </xf>
    <xf numFmtId="2" fontId="23" fillId="0" borderId="28" xfId="0" applyNumberFormat="1" applyFont="1" applyFill="1" applyBorder="1" applyAlignment="1" applyProtection="1">
      <alignment vertical="center"/>
    </xf>
    <xf numFmtId="0" fontId="23" fillId="0" borderId="29" xfId="0" applyFont="1" applyFill="1" applyBorder="1" applyAlignment="1" applyProtection="1">
      <alignment horizontal="center" vertical="center"/>
    </xf>
    <xf numFmtId="0" fontId="23" fillId="0" borderId="13" xfId="0" applyFont="1" applyBorder="1" applyAlignment="1" applyProtection="1">
      <alignment vertical="center"/>
    </xf>
    <xf numFmtId="10" fontId="23" fillId="0" borderId="13" xfId="0" applyNumberFormat="1" applyFont="1" applyFill="1" applyBorder="1" applyAlignment="1" applyProtection="1">
      <alignment vertical="center"/>
    </xf>
    <xf numFmtId="4" fontId="23" fillId="0" borderId="13" xfId="5" applyFont="1" applyBorder="1" applyAlignment="1" applyProtection="1">
      <alignment vertical="center"/>
    </xf>
    <xf numFmtId="0" fontId="23" fillId="0" borderId="28" xfId="0" applyFont="1" applyFill="1" applyBorder="1" applyAlignment="1" applyProtection="1">
      <alignment horizontal="center" vertical="center"/>
    </xf>
    <xf numFmtId="167" fontId="23" fillId="2" borderId="28" xfId="0" applyNumberFormat="1" applyFont="1" applyFill="1" applyBorder="1" applyAlignment="1" applyProtection="1">
      <alignment vertical="center"/>
      <protection locked="0"/>
    </xf>
    <xf numFmtId="0" fontId="23" fillId="0" borderId="26" xfId="0" applyFont="1" applyFill="1" applyBorder="1" applyAlignment="1" applyProtection="1">
      <alignment horizontal="center" vertical="center"/>
    </xf>
    <xf numFmtId="10" fontId="23" fillId="0" borderId="26" xfId="0" applyNumberFormat="1" applyFont="1" applyBorder="1" applyAlignment="1" applyProtection="1">
      <alignment vertical="center"/>
    </xf>
    <xf numFmtId="10" fontId="23" fillId="0" borderId="18" xfId="0" applyNumberFormat="1" applyFont="1" applyBorder="1" applyAlignment="1" applyProtection="1">
      <alignment vertical="center"/>
    </xf>
    <xf numFmtId="0" fontId="27" fillId="0" borderId="18" xfId="0" applyFont="1" applyBorder="1" applyAlignment="1" applyProtection="1">
      <alignment horizontal="center" vertical="center"/>
    </xf>
    <xf numFmtId="167" fontId="23" fillId="0" borderId="20" xfId="0" applyNumberFormat="1" applyFont="1" applyBorder="1" applyAlignment="1">
      <alignment vertical="center"/>
    </xf>
    <xf numFmtId="10" fontId="23" fillId="0" borderId="20" xfId="0" applyNumberFormat="1" applyFont="1" applyFill="1" applyBorder="1" applyAlignment="1" applyProtection="1">
      <alignment vertical="center"/>
    </xf>
    <xf numFmtId="10" fontId="23" fillId="0" borderId="21" xfId="0" applyNumberFormat="1" applyFont="1" applyFill="1" applyBorder="1" applyAlignment="1" applyProtection="1">
      <alignment vertical="center"/>
    </xf>
    <xf numFmtId="10" fontId="23" fillId="0" borderId="28" xfId="0" applyNumberFormat="1" applyFont="1" applyFill="1" applyBorder="1" applyAlignment="1" applyProtection="1">
      <alignment vertical="center"/>
    </xf>
    <xf numFmtId="4" fontId="23" fillId="0" borderId="29" xfId="0" applyNumberFormat="1" applyFont="1" applyBorder="1" applyAlignment="1" applyProtection="1">
      <alignment vertical="center"/>
    </xf>
    <xf numFmtId="4" fontId="23" fillId="0" borderId="29" xfId="0" applyNumberFormat="1" applyFont="1" applyFill="1" applyBorder="1" applyAlignment="1" applyProtection="1">
      <alignment vertical="center"/>
    </xf>
    <xf numFmtId="4" fontId="23" fillId="0" borderId="20" xfId="0" applyNumberFormat="1" applyFont="1" applyBorder="1" applyAlignment="1" applyProtection="1">
      <alignment vertical="center"/>
    </xf>
    <xf numFmtId="10" fontId="23" fillId="0" borderId="27" xfId="0" applyNumberFormat="1" applyFont="1" applyFill="1" applyBorder="1" applyAlignment="1" applyProtection="1">
      <alignment vertical="center"/>
    </xf>
    <xf numFmtId="0" fontId="23" fillId="0" borderId="28" xfId="0" applyFont="1" applyFill="1" applyBorder="1" applyAlignment="1" applyProtection="1">
      <alignment vertical="center"/>
    </xf>
    <xf numFmtId="10" fontId="23" fillId="0" borderId="21" xfId="0" applyNumberFormat="1" applyFont="1" applyBorder="1" applyAlignment="1" applyProtection="1">
      <alignment vertical="center"/>
    </xf>
    <xf numFmtId="10" fontId="23" fillId="0" borderId="29" xfId="0" applyNumberFormat="1" applyFont="1" applyFill="1" applyBorder="1" applyAlignment="1" applyProtection="1">
      <alignment vertical="center"/>
    </xf>
    <xf numFmtId="0" fontId="25" fillId="0" borderId="19" xfId="0" applyFont="1" applyFill="1" applyBorder="1" applyAlignment="1">
      <alignment horizontal="center"/>
    </xf>
    <xf numFmtId="0" fontId="23" fillId="0" borderId="0" xfId="0" applyFont="1" applyBorder="1" applyAlignment="1">
      <alignment vertical="center"/>
    </xf>
    <xf numFmtId="0" fontId="20" fillId="0" borderId="0" xfId="0" applyFont="1" applyBorder="1" applyProtection="1"/>
    <xf numFmtId="0" fontId="20" fillId="0" borderId="0" xfId="0" applyFont="1" applyBorder="1" applyAlignment="1">
      <alignment wrapText="1"/>
    </xf>
    <xf numFmtId="0" fontId="20" fillId="0" borderId="14" xfId="0" applyFont="1" applyBorder="1" applyAlignment="1">
      <alignment wrapText="1"/>
    </xf>
    <xf numFmtId="0" fontId="26" fillId="0" borderId="0" xfId="0" applyFont="1" applyBorder="1"/>
    <xf numFmtId="0" fontId="14" fillId="0" borderId="18" xfId="0" applyFont="1" applyBorder="1"/>
    <xf numFmtId="0" fontId="14" fillId="4" borderId="18" xfId="0" applyFont="1" applyFill="1" applyBorder="1" applyAlignment="1">
      <alignment vertical="center"/>
    </xf>
    <xf numFmtId="0" fontId="14" fillId="4" borderId="19" xfId="0" applyFont="1" applyFill="1" applyBorder="1" applyAlignment="1">
      <alignment vertical="center"/>
    </xf>
    <xf numFmtId="0" fontId="23" fillId="0" borderId="20" xfId="0" applyFont="1" applyBorder="1" applyAlignment="1" applyProtection="1">
      <alignment vertical="center"/>
    </xf>
    <xf numFmtId="0" fontId="42" fillId="0" borderId="29" xfId="0" applyFont="1" applyBorder="1" applyAlignment="1" applyProtection="1">
      <alignment vertical="center"/>
    </xf>
    <xf numFmtId="0" fontId="23" fillId="0" borderId="29" xfId="0" applyFont="1" applyBorder="1" applyAlignment="1" applyProtection="1">
      <alignment vertical="center"/>
    </xf>
    <xf numFmtId="4" fontId="23" fillId="0" borderId="21" xfId="5" applyFont="1" applyBorder="1" applyAlignment="1" applyProtection="1">
      <alignment vertical="center"/>
    </xf>
    <xf numFmtId="0" fontId="23" fillId="0" borderId="13" xfId="0" applyFont="1" applyFill="1" applyBorder="1" applyAlignment="1" applyProtection="1">
      <alignment vertical="center"/>
    </xf>
    <xf numFmtId="0" fontId="23" fillId="0" borderId="24" xfId="0" applyFont="1" applyBorder="1" applyAlignment="1" applyProtection="1">
      <alignment vertical="center"/>
    </xf>
    <xf numFmtId="10" fontId="23" fillId="0" borderId="14" xfId="0" applyNumberFormat="1" applyFont="1" applyBorder="1" applyAlignment="1" applyProtection="1">
      <alignment vertical="center"/>
    </xf>
    <xf numFmtId="4" fontId="23" fillId="0" borderId="14" xfId="0" applyNumberFormat="1" applyFont="1" applyBorder="1" applyAlignment="1" applyProtection="1">
      <alignment vertical="center"/>
    </xf>
    <xf numFmtId="0" fontId="42" fillId="11" borderId="29" xfId="0" applyFont="1" applyFill="1" applyBorder="1" applyAlignment="1" applyProtection="1">
      <alignment vertical="center"/>
    </xf>
    <xf numFmtId="4" fontId="23" fillId="11" borderId="27" xfId="5" applyFont="1" applyFill="1" applyBorder="1" applyAlignment="1" applyProtection="1">
      <alignment vertical="center"/>
    </xf>
    <xf numFmtId="10" fontId="23" fillId="11" borderId="27" xfId="0" applyNumberFormat="1" applyFont="1" applyFill="1" applyBorder="1" applyAlignment="1" applyProtection="1">
      <alignment vertical="center"/>
    </xf>
    <xf numFmtId="176" fontId="23" fillId="11" borderId="28" xfId="0" applyNumberFormat="1" applyFont="1" applyFill="1" applyBorder="1" applyAlignment="1" applyProtection="1">
      <alignment vertical="center"/>
    </xf>
    <xf numFmtId="0" fontId="23" fillId="0" borderId="9" xfId="0" applyFont="1" applyFill="1" applyBorder="1" applyAlignment="1" applyProtection="1">
      <alignment vertical="center"/>
    </xf>
    <xf numFmtId="0" fontId="23" fillId="0" borderId="25" xfId="0" applyFont="1" applyBorder="1" applyAlignment="1" applyProtection="1">
      <alignment vertical="center"/>
    </xf>
    <xf numFmtId="185" fontId="23" fillId="0" borderId="25" xfId="0" applyNumberFormat="1" applyFont="1" applyFill="1" applyBorder="1" applyAlignment="1" applyProtection="1">
      <alignment vertical="center"/>
    </xf>
    <xf numFmtId="0" fontId="23" fillId="0" borderId="40" xfId="0" applyFont="1" applyFill="1" applyBorder="1" applyAlignment="1" applyProtection="1">
      <alignment horizontal="right" vertical="center"/>
    </xf>
    <xf numFmtId="185" fontId="23" fillId="11" borderId="40" xfId="5" applyNumberFormat="1" applyFont="1" applyFill="1" applyBorder="1" applyAlignment="1" applyProtection="1">
      <alignment vertical="center"/>
    </xf>
    <xf numFmtId="10" fontId="23" fillId="0" borderId="40" xfId="0" applyNumberFormat="1" applyFont="1" applyBorder="1" applyAlignment="1" applyProtection="1">
      <alignment vertical="center"/>
    </xf>
    <xf numFmtId="0" fontId="75" fillId="0" borderId="22" xfId="0" applyFont="1" applyBorder="1" applyAlignment="1">
      <alignment horizontal="center" vertical="center"/>
    </xf>
    <xf numFmtId="9" fontId="24" fillId="12" borderId="13" xfId="9" applyNumberFormat="1" applyFont="1" applyFill="1" applyBorder="1" applyAlignment="1">
      <alignment vertical="center"/>
    </xf>
    <xf numFmtId="4" fontId="24" fillId="12" borderId="27" xfId="5" applyFont="1" applyFill="1" applyBorder="1" applyAlignment="1">
      <alignment vertical="center"/>
    </xf>
    <xf numFmtId="9" fontId="24" fillId="13" borderId="13" xfId="9" applyNumberFormat="1" applyFont="1" applyFill="1" applyBorder="1" applyAlignment="1">
      <alignment vertical="center"/>
    </xf>
    <xf numFmtId="4" fontId="24" fillId="13" borderId="27" xfId="5" applyFont="1" applyFill="1" applyBorder="1" applyAlignment="1">
      <alignment vertical="center"/>
    </xf>
    <xf numFmtId="4" fontId="30" fillId="13" borderId="27" xfId="5" applyFont="1" applyFill="1" applyBorder="1" applyAlignment="1">
      <alignment vertical="center"/>
    </xf>
    <xf numFmtId="167" fontId="23" fillId="0" borderId="57" xfId="0" applyNumberFormat="1" applyFont="1" applyBorder="1" applyAlignment="1">
      <alignment vertical="center"/>
    </xf>
    <xf numFmtId="2" fontId="23" fillId="2" borderId="57" xfId="0" applyNumberFormat="1" applyFont="1" applyFill="1" applyBorder="1" applyAlignment="1" applyProtection="1">
      <alignment vertical="center"/>
      <protection locked="0"/>
    </xf>
    <xf numFmtId="10" fontId="23" fillId="0" borderId="27" xfId="0" applyNumberFormat="1" applyFont="1" applyBorder="1" applyAlignment="1" applyProtection="1">
      <alignment vertical="center"/>
    </xf>
    <xf numFmtId="0" fontId="23" fillId="0" borderId="27" xfId="0" applyFont="1" applyFill="1" applyBorder="1" applyAlignment="1" applyProtection="1">
      <alignment horizontal="center" vertical="center"/>
    </xf>
    <xf numFmtId="10" fontId="23" fillId="2" borderId="27" xfId="0" applyNumberFormat="1" applyFont="1" applyFill="1" applyBorder="1" applyAlignment="1" applyProtection="1">
      <alignment vertical="center"/>
      <protection locked="0"/>
    </xf>
    <xf numFmtId="10" fontId="23" fillId="0" borderId="13" xfId="0" applyNumberFormat="1" applyFont="1" applyBorder="1" applyAlignment="1" applyProtection="1">
      <alignment vertical="center"/>
    </xf>
    <xf numFmtId="4" fontId="23" fillId="0" borderId="37" xfId="0" applyNumberFormat="1" applyFont="1" applyBorder="1" applyAlignment="1" applyProtection="1">
      <alignment vertical="center"/>
    </xf>
    <xf numFmtId="0" fontId="23" fillId="0" borderId="50" xfId="0" applyFont="1" applyFill="1" applyBorder="1" applyAlignment="1" applyProtection="1">
      <alignment horizontal="center" vertical="center"/>
    </xf>
    <xf numFmtId="4" fontId="23" fillId="0" borderId="50" xfId="0" applyNumberFormat="1" applyFont="1" applyFill="1" applyBorder="1" applyAlignment="1" applyProtection="1">
      <alignment vertical="center"/>
    </xf>
    <xf numFmtId="4" fontId="23" fillId="0" borderId="51" xfId="0" applyNumberFormat="1" applyFont="1" applyBorder="1" applyAlignment="1" applyProtection="1">
      <alignment vertical="center"/>
    </xf>
    <xf numFmtId="0" fontId="23" fillId="0" borderId="12" xfId="0" applyFont="1" applyBorder="1" applyAlignment="1" applyProtection="1">
      <alignment vertical="center"/>
    </xf>
    <xf numFmtId="10" fontId="23" fillId="0" borderId="3" xfId="0" applyNumberFormat="1" applyFont="1" applyBorder="1" applyAlignment="1" applyProtection="1">
      <alignment vertical="center"/>
    </xf>
    <xf numFmtId="4" fontId="23" fillId="0" borderId="3" xfId="0" applyNumberFormat="1" applyFont="1" applyBorder="1" applyAlignment="1" applyProtection="1">
      <alignment vertical="center"/>
    </xf>
    <xf numFmtId="0" fontId="23" fillId="0" borderId="67" xfId="0" applyFont="1" applyBorder="1" applyAlignment="1" applyProtection="1">
      <alignment vertical="center"/>
    </xf>
    <xf numFmtId="10" fontId="23" fillId="0" borderId="65" xfId="0" applyNumberFormat="1" applyFont="1" applyBorder="1" applyAlignment="1" applyProtection="1">
      <alignment vertical="center"/>
    </xf>
    <xf numFmtId="10" fontId="27" fillId="0" borderId="0" xfId="9" applyFont="1" applyBorder="1" applyAlignment="1">
      <alignment vertical="center"/>
    </xf>
    <xf numFmtId="167" fontId="23" fillId="0" borderId="41" xfId="0" applyNumberFormat="1" applyFont="1" applyBorder="1" applyAlignment="1">
      <alignment vertical="center"/>
    </xf>
    <xf numFmtId="167" fontId="23" fillId="0" borderId="42" xfId="0" applyNumberFormat="1" applyFont="1" applyBorder="1" applyAlignment="1">
      <alignment vertical="center"/>
    </xf>
    <xf numFmtId="167" fontId="23" fillId="0" borderId="41" xfId="0" applyNumberFormat="1" applyFont="1" applyBorder="1" applyAlignment="1">
      <alignment horizontal="left" vertical="center"/>
    </xf>
    <xf numFmtId="0" fontId="27" fillId="0" borderId="47" xfId="0" applyFont="1" applyBorder="1" applyAlignment="1">
      <alignment vertical="center"/>
    </xf>
    <xf numFmtId="0" fontId="27" fillId="0" borderId="10" xfId="0" applyFont="1" applyBorder="1" applyAlignment="1">
      <alignment horizontal="center" vertical="center"/>
    </xf>
    <xf numFmtId="10" fontId="27" fillId="0" borderId="40" xfId="9" applyFont="1" applyBorder="1" applyAlignment="1">
      <alignment vertical="center"/>
    </xf>
    <xf numFmtId="10" fontId="27" fillId="0" borderId="4" xfId="9" applyFont="1" applyBorder="1" applyAlignment="1">
      <alignment vertical="center"/>
    </xf>
    <xf numFmtId="167" fontId="23" fillId="0" borderId="66" xfId="0" applyNumberFormat="1" applyFont="1" applyBorder="1" applyAlignment="1">
      <alignment vertical="center"/>
    </xf>
    <xf numFmtId="167" fontId="23" fillId="0" borderId="68" xfId="0" applyNumberFormat="1" applyFont="1" applyBorder="1" applyAlignment="1">
      <alignment vertical="center"/>
    </xf>
    <xf numFmtId="0" fontId="23" fillId="0" borderId="34" xfId="0" applyFont="1" applyBorder="1" applyAlignment="1">
      <alignment horizontal="center" vertical="center"/>
    </xf>
    <xf numFmtId="0" fontId="23" fillId="0" borderId="46" xfId="0" applyFont="1" applyBorder="1" applyAlignment="1">
      <alignment horizontal="center" vertical="center"/>
    </xf>
    <xf numFmtId="167" fontId="23" fillId="0" borderId="66" xfId="0" applyNumberFormat="1"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vertical="center"/>
    </xf>
    <xf numFmtId="0" fontId="79" fillId="0" borderId="22" xfId="0" applyFont="1" applyFill="1" applyBorder="1" applyAlignment="1" applyProtection="1">
      <alignment horizontal="left"/>
    </xf>
    <xf numFmtId="0" fontId="20" fillId="15" borderId="11" xfId="0" applyFont="1" applyFill="1" applyBorder="1" applyAlignment="1"/>
    <xf numFmtId="0" fontId="20" fillId="0" borderId="44" xfId="0" applyFont="1" applyBorder="1" applyProtection="1"/>
    <xf numFmtId="0" fontId="20" fillId="0" borderId="0" xfId="0" applyFont="1" applyProtection="1"/>
    <xf numFmtId="0" fontId="20" fillId="0" borderId="47" xfId="0" applyFont="1" applyBorder="1" applyProtection="1"/>
    <xf numFmtId="0" fontId="20" fillId="14" borderId="0" xfId="0" applyFont="1" applyFill="1" applyBorder="1" applyProtection="1"/>
    <xf numFmtId="0" fontId="20" fillId="14" borderId="3" xfId="0" applyFont="1" applyFill="1" applyBorder="1" applyProtection="1"/>
    <xf numFmtId="0" fontId="20" fillId="0" borderId="47" xfId="0" applyFont="1" applyBorder="1" applyAlignment="1" applyProtection="1"/>
    <xf numFmtId="0" fontId="20" fillId="14" borderId="0" xfId="0" applyFont="1" applyFill="1" applyBorder="1" applyAlignment="1" applyProtection="1"/>
    <xf numFmtId="0" fontId="20" fillId="0" borderId="0" xfId="0" applyFont="1" applyAlignment="1" applyProtection="1"/>
    <xf numFmtId="0" fontId="20" fillId="0" borderId="21" xfId="0" applyFont="1" applyBorder="1" applyProtection="1"/>
    <xf numFmtId="0" fontId="20" fillId="0" borderId="17" xfId="0" applyFont="1" applyBorder="1" applyProtection="1"/>
    <xf numFmtId="0" fontId="20" fillId="0" borderId="18" xfId="0" applyFont="1" applyBorder="1" applyProtection="1"/>
    <xf numFmtId="0" fontId="20" fillId="0" borderId="19" xfId="0" applyFont="1" applyBorder="1" applyProtection="1"/>
    <xf numFmtId="0" fontId="20" fillId="0" borderId="0" xfId="0" applyFont="1" applyFill="1" applyProtection="1"/>
    <xf numFmtId="1" fontId="20" fillId="0" borderId="0" xfId="0" applyNumberFormat="1" applyFont="1" applyFill="1" applyAlignment="1" applyProtection="1">
      <alignment horizontal="center"/>
    </xf>
    <xf numFmtId="0" fontId="66" fillId="0" borderId="0" xfId="0" applyFont="1" applyFill="1" applyAlignment="1" applyProtection="1">
      <alignment horizontal="center"/>
    </xf>
    <xf numFmtId="0" fontId="26" fillId="0" borderId="0" xfId="0" applyFont="1" applyBorder="1" applyProtection="1"/>
    <xf numFmtId="0" fontId="20" fillId="0" borderId="23" xfId="0" applyFont="1" applyBorder="1" applyProtection="1"/>
    <xf numFmtId="1" fontId="20" fillId="0" borderId="0" xfId="0" applyNumberFormat="1" applyFont="1" applyBorder="1" applyProtection="1"/>
    <xf numFmtId="186" fontId="20" fillId="0" borderId="0" xfId="0" applyNumberFormat="1" applyFont="1" applyBorder="1" applyAlignment="1" applyProtection="1">
      <alignment horizontal="center"/>
    </xf>
    <xf numFmtId="0" fontId="66" fillId="0" borderId="0" xfId="0" applyFont="1" applyBorder="1" applyAlignment="1" applyProtection="1">
      <alignment horizontal="center" vertical="center" wrapText="1"/>
    </xf>
    <xf numFmtId="10" fontId="23" fillId="0" borderId="26" xfId="0" applyNumberFormat="1" applyFont="1" applyFill="1" applyBorder="1" applyAlignment="1" applyProtection="1">
      <alignment vertical="center"/>
    </xf>
    <xf numFmtId="10" fontId="23" fillId="0" borderId="30" xfId="0" applyNumberFormat="1" applyFont="1" applyFill="1" applyBorder="1" applyAlignment="1" applyProtection="1">
      <alignment vertical="center"/>
    </xf>
    <xf numFmtId="0" fontId="13" fillId="0" borderId="30" xfId="0" applyFont="1" applyBorder="1" applyAlignment="1">
      <alignment horizontal="center" vertical="center"/>
    </xf>
    <xf numFmtId="167" fontId="23" fillId="0" borderId="62" xfId="0" applyNumberFormat="1" applyFont="1" applyBorder="1" applyAlignment="1">
      <alignment vertical="center"/>
    </xf>
    <xf numFmtId="167" fontId="23" fillId="0" borderId="33" xfId="0" applyNumberFormat="1" applyFont="1" applyBorder="1" applyAlignment="1">
      <alignment vertical="center"/>
    </xf>
    <xf numFmtId="167" fontId="23" fillId="0" borderId="31" xfId="0" applyNumberFormat="1" applyFont="1" applyBorder="1" applyAlignment="1" applyProtection="1">
      <alignment vertical="center"/>
    </xf>
    <xf numFmtId="0" fontId="10" fillId="0" borderId="53" xfId="0" applyFont="1" applyFill="1" applyBorder="1" applyAlignment="1">
      <alignment horizontal="center" vertical="center"/>
    </xf>
    <xf numFmtId="0" fontId="23" fillId="0" borderId="11" xfId="0" applyFont="1" applyBorder="1" applyAlignment="1" applyProtection="1">
      <alignment vertical="center"/>
    </xf>
    <xf numFmtId="0" fontId="23" fillId="0" borderId="11" xfId="0" applyFont="1" applyBorder="1" applyAlignment="1" applyProtection="1">
      <alignment horizontal="center" vertical="center"/>
    </xf>
    <xf numFmtId="0" fontId="27" fillId="0" borderId="13"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Border="1" applyAlignment="1" applyProtection="1">
      <alignment horizontal="center" vertical="center"/>
    </xf>
    <xf numFmtId="0" fontId="23" fillId="0" borderId="0" xfId="0" applyFont="1" applyBorder="1" applyAlignment="1" applyProtection="1">
      <alignment vertical="center"/>
    </xf>
    <xf numFmtId="0" fontId="23" fillId="0" borderId="0" xfId="0" applyFont="1" applyBorder="1" applyAlignment="1" applyProtection="1">
      <alignment horizontal="center" vertical="center"/>
    </xf>
    <xf numFmtId="0" fontId="27" fillId="0" borderId="21" xfId="0" applyFont="1" applyBorder="1" applyAlignment="1" applyProtection="1">
      <alignment vertical="center"/>
    </xf>
    <xf numFmtId="0" fontId="27" fillId="0" borderId="17" xfId="0" applyFont="1" applyBorder="1" applyAlignment="1" applyProtection="1">
      <alignment vertical="center"/>
    </xf>
    <xf numFmtId="0" fontId="27" fillId="0" borderId="17" xfId="0" applyFont="1" applyBorder="1" applyAlignment="1" applyProtection="1">
      <alignment horizontal="center" vertical="center"/>
    </xf>
    <xf numFmtId="0" fontId="25" fillId="0" borderId="18" xfId="0" applyFont="1" applyBorder="1" applyProtection="1"/>
    <xf numFmtId="0" fontId="25" fillId="0" borderId="19" xfId="0" applyFont="1" applyBorder="1" applyProtection="1"/>
    <xf numFmtId="179" fontId="34" fillId="16" borderId="29" xfId="0" applyNumberFormat="1" applyFont="1" applyFill="1" applyBorder="1" applyAlignment="1" applyProtection="1">
      <alignment horizontal="center" vertical="center"/>
      <protection locked="0"/>
    </xf>
    <xf numFmtId="179" fontId="34" fillId="16" borderId="30" xfId="0" applyNumberFormat="1" applyFont="1" applyFill="1" applyBorder="1" applyAlignment="1" applyProtection="1">
      <alignment horizontal="center" vertical="center"/>
      <protection locked="0"/>
    </xf>
    <xf numFmtId="179" fontId="34" fillId="16" borderId="27" xfId="0" applyNumberFormat="1" applyFont="1" applyFill="1" applyBorder="1" applyAlignment="1" applyProtection="1">
      <alignment horizontal="center" vertical="center"/>
      <protection locked="0"/>
    </xf>
    <xf numFmtId="179" fontId="34" fillId="16" borderId="26" xfId="0" applyNumberFormat="1" applyFont="1" applyFill="1" applyBorder="1" applyAlignment="1" applyProtection="1">
      <alignment horizontal="center" vertical="center"/>
      <protection locked="0"/>
    </xf>
    <xf numFmtId="167" fontId="23" fillId="0" borderId="11" xfId="0" applyNumberFormat="1" applyFont="1" applyBorder="1" applyAlignment="1" applyProtection="1">
      <alignment vertical="center"/>
    </xf>
    <xf numFmtId="167" fontId="27" fillId="0" borderId="0" xfId="0" applyNumberFormat="1" applyFont="1" applyBorder="1" applyAlignment="1" applyProtection="1">
      <alignment vertical="center"/>
    </xf>
    <xf numFmtId="167" fontId="23" fillId="0" borderId="0" xfId="0" applyNumberFormat="1" applyFont="1" applyBorder="1" applyAlignment="1" applyProtection="1">
      <alignment vertical="center"/>
    </xf>
    <xf numFmtId="167" fontId="27" fillId="0" borderId="17" xfId="0" applyNumberFormat="1" applyFont="1" applyBorder="1" applyAlignment="1" applyProtection="1">
      <alignment vertical="center"/>
    </xf>
    <xf numFmtId="0" fontId="23" fillId="0" borderId="27" xfId="0" applyFont="1" applyBorder="1" applyAlignment="1" applyProtection="1">
      <alignment vertical="center" wrapText="1"/>
    </xf>
    <xf numFmtId="167" fontId="46" fillId="2" borderId="35" xfId="0" applyNumberFormat="1" applyFont="1" applyFill="1" applyBorder="1" applyAlignment="1">
      <alignment vertical="center"/>
    </xf>
    <xf numFmtId="0" fontId="32" fillId="2" borderId="33" xfId="0" applyFont="1" applyFill="1" applyBorder="1"/>
    <xf numFmtId="167" fontId="31" fillId="2" borderId="35" xfId="0" applyNumberFormat="1" applyFont="1" applyFill="1" applyBorder="1" applyAlignment="1">
      <alignment vertical="center"/>
    </xf>
    <xf numFmtId="0" fontId="49" fillId="2" borderId="8" xfId="0" applyFont="1" applyFill="1" applyBorder="1" applyAlignment="1">
      <alignment vertical="center"/>
    </xf>
    <xf numFmtId="0" fontId="15" fillId="2" borderId="8" xfId="0" applyFont="1" applyFill="1" applyBorder="1" applyAlignment="1">
      <alignment vertical="center"/>
    </xf>
    <xf numFmtId="0" fontId="15" fillId="2" borderId="35" xfId="0" applyFont="1" applyFill="1" applyBorder="1" applyAlignment="1">
      <alignment vertical="center"/>
    </xf>
    <xf numFmtId="0" fontId="48" fillId="2" borderId="33" xfId="0" applyFont="1" applyFill="1" applyBorder="1"/>
    <xf numFmtId="179" fontId="34" fillId="17" borderId="26" xfId="0" applyNumberFormat="1" applyFont="1" applyFill="1" applyBorder="1" applyAlignment="1" applyProtection="1">
      <alignment horizontal="center" vertical="center"/>
      <protection locked="0"/>
    </xf>
    <xf numFmtId="179" fontId="34" fillId="18" borderId="26" xfId="0" applyNumberFormat="1" applyFont="1" applyFill="1" applyBorder="1" applyAlignment="1" applyProtection="1">
      <alignment horizontal="center" vertical="center"/>
      <protection locked="0"/>
    </xf>
    <xf numFmtId="2" fontId="20" fillId="0" borderId="27" xfId="10" applyNumberFormat="1" applyFont="1" applyFill="1" applyBorder="1" applyProtection="1"/>
    <xf numFmtId="0" fontId="66" fillId="0" borderId="23" xfId="0" applyFont="1" applyBorder="1" applyAlignment="1" applyProtection="1">
      <alignment horizontal="center" vertical="center" wrapText="1"/>
    </xf>
    <xf numFmtId="179" fontId="34" fillId="16" borderId="18" xfId="0" applyNumberFormat="1" applyFont="1" applyFill="1" applyBorder="1" applyAlignment="1" applyProtection="1">
      <alignment horizontal="center" vertical="center"/>
      <protection locked="0"/>
    </xf>
    <xf numFmtId="0" fontId="20" fillId="0" borderId="13" xfId="0" applyFont="1" applyBorder="1" applyProtection="1"/>
    <xf numFmtId="0" fontId="66" fillId="0" borderId="14" xfId="0" applyFont="1" applyBorder="1" applyAlignment="1" applyProtection="1">
      <alignment horizontal="center" vertical="center" wrapText="1"/>
    </xf>
    <xf numFmtId="0" fontId="68" fillId="0" borderId="0" xfId="0" applyFont="1" applyFill="1" applyBorder="1" applyAlignment="1">
      <alignment horizontal="left" vertical="center"/>
    </xf>
    <xf numFmtId="0" fontId="11" fillId="0" borderId="0" xfId="21" applyFont="1"/>
    <xf numFmtId="0" fontId="11" fillId="0" borderId="26" xfId="22" applyFont="1" applyBorder="1" applyAlignment="1">
      <alignment horizontal="center"/>
    </xf>
    <xf numFmtId="0" fontId="13" fillId="0" borderId="26" xfId="22" applyFont="1" applyBorder="1" applyAlignment="1">
      <alignment horizontal="center" vertical="center"/>
    </xf>
    <xf numFmtId="0" fontId="13" fillId="0" borderId="30" xfId="22" applyFont="1" applyBorder="1" applyAlignment="1">
      <alignment horizontal="center" vertical="center"/>
    </xf>
    <xf numFmtId="10" fontId="11" fillId="0" borderId="28" xfId="23" applyNumberFormat="1" applyFont="1" applyBorder="1" applyAlignment="1">
      <alignment horizontal="center" vertical="center"/>
    </xf>
    <xf numFmtId="0" fontId="11" fillId="0" borderId="18" xfId="22" applyFont="1" applyBorder="1" applyAlignment="1">
      <alignment horizontal="center"/>
    </xf>
    <xf numFmtId="0" fontId="13" fillId="0" borderId="18" xfId="22" applyFont="1" applyBorder="1" applyAlignment="1">
      <alignment horizontal="center" vertical="center"/>
    </xf>
    <xf numFmtId="0" fontId="13" fillId="0" borderId="31" xfId="22" applyFont="1" applyBorder="1" applyAlignment="1">
      <alignment horizontal="center" vertical="center"/>
    </xf>
    <xf numFmtId="0" fontId="1" fillId="0" borderId="0" xfId="22"/>
    <xf numFmtId="0" fontId="11" fillId="0" borderId="22" xfId="21" applyFont="1" applyFill="1" applyBorder="1" applyAlignment="1" applyProtection="1">
      <alignment vertical="center"/>
    </xf>
    <xf numFmtId="0" fontId="11" fillId="0" borderId="32" xfId="21" applyFont="1" applyFill="1" applyBorder="1" applyAlignment="1" applyProtection="1">
      <alignment vertical="center"/>
    </xf>
    <xf numFmtId="0" fontId="13" fillId="0" borderId="29" xfId="22" applyFont="1" applyBorder="1" applyAlignment="1">
      <alignment horizontal="center" vertical="center"/>
    </xf>
    <xf numFmtId="0" fontId="20" fillId="0" borderId="18" xfId="0" applyFont="1" applyBorder="1" applyAlignment="1" applyProtection="1">
      <alignment vertical="center"/>
    </xf>
    <xf numFmtId="0" fontId="20" fillId="0" borderId="26" xfId="0" applyFont="1" applyBorder="1" applyProtection="1"/>
    <xf numFmtId="49" fontId="14" fillId="4" borderId="22" xfId="0" applyNumberFormat="1" applyFont="1" applyFill="1" applyBorder="1" applyAlignment="1">
      <alignment vertical="center"/>
    </xf>
    <xf numFmtId="0" fontId="9" fillId="0" borderId="26" xfId="21" applyFont="1" applyBorder="1"/>
    <xf numFmtId="0" fontId="9" fillId="0" borderId="26" xfId="21" applyFont="1" applyFill="1" applyBorder="1" applyAlignment="1" applyProtection="1"/>
    <xf numFmtId="0" fontId="11" fillId="0" borderId="19" xfId="21" applyFont="1" applyFill="1" applyBorder="1" applyAlignment="1" applyProtection="1">
      <alignment vertical="top"/>
    </xf>
    <xf numFmtId="0" fontId="11" fillId="0" borderId="27" xfId="21" applyFont="1" applyBorder="1" applyAlignment="1">
      <alignment vertical="center" wrapText="1"/>
    </xf>
    <xf numFmtId="0" fontId="11" fillId="0" borderId="28" xfId="21" applyFont="1" applyBorder="1" applyAlignment="1">
      <alignment vertical="center" wrapText="1"/>
    </xf>
    <xf numFmtId="0" fontId="13" fillId="0" borderId="29" xfId="21" applyFont="1" applyBorder="1" applyAlignment="1">
      <alignment horizontal="center" vertical="center"/>
    </xf>
    <xf numFmtId="1" fontId="11" fillId="0" borderId="26" xfId="21" applyNumberFormat="1" applyFont="1" applyBorder="1" applyAlignment="1">
      <alignment horizontal="center" vertical="center"/>
    </xf>
    <xf numFmtId="0" fontId="11" fillId="0" borderId="26" xfId="21" applyFont="1" applyBorder="1" applyAlignment="1">
      <alignment horizontal="center" vertical="center"/>
    </xf>
    <xf numFmtId="1" fontId="11" fillId="0" borderId="28" xfId="21" applyNumberFormat="1" applyFont="1" applyBorder="1" applyAlignment="1">
      <alignment horizontal="center" vertical="center"/>
    </xf>
    <xf numFmtId="0" fontId="20" fillId="0" borderId="28" xfId="0" applyFont="1" applyBorder="1" applyProtection="1"/>
    <xf numFmtId="44" fontId="23" fillId="2" borderId="40" xfId="15" applyFont="1" applyFill="1" applyBorder="1" applyAlignment="1" applyProtection="1">
      <alignment vertical="center"/>
      <protection locked="0"/>
    </xf>
    <xf numFmtId="0" fontId="66" fillId="0" borderId="23" xfId="0" applyFont="1" applyBorder="1" applyAlignment="1" applyProtection="1">
      <alignment horizontal="center" vertical="center" wrapText="1"/>
    </xf>
    <xf numFmtId="0" fontId="80" fillId="0" borderId="18" xfId="0" applyFont="1" applyBorder="1" applyAlignment="1" applyProtection="1">
      <alignment horizontal="right" vertical="center"/>
    </xf>
    <xf numFmtId="177" fontId="80" fillId="0" borderId="19" xfId="10" applyNumberFormat="1" applyFont="1" applyFill="1" applyBorder="1" applyAlignment="1" applyProtection="1">
      <alignment vertical="center"/>
    </xf>
    <xf numFmtId="186" fontId="20" fillId="0" borderId="19" xfId="0" applyNumberFormat="1" applyFont="1" applyBorder="1" applyAlignment="1" applyProtection="1">
      <alignment horizontal="center"/>
    </xf>
    <xf numFmtId="0" fontId="20" fillId="2" borderId="26" xfId="0" applyFont="1" applyFill="1" applyBorder="1" applyProtection="1">
      <protection locked="0"/>
    </xf>
    <xf numFmtId="0" fontId="66" fillId="0" borderId="19" xfId="0" applyFont="1" applyBorder="1" applyAlignment="1" applyProtection="1">
      <alignment horizontal="center" vertical="center" wrapText="1"/>
    </xf>
    <xf numFmtId="0" fontId="27" fillId="0" borderId="22" xfId="0" applyFont="1" applyBorder="1" applyAlignment="1">
      <alignment horizontal="center"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25" fillId="0" borderId="20" xfId="0" applyFont="1" applyBorder="1"/>
    <xf numFmtId="0" fontId="20" fillId="0" borderId="13" xfId="0" applyFont="1" applyBorder="1"/>
    <xf numFmtId="0" fontId="20" fillId="0" borderId="13" xfId="0" applyFont="1" applyBorder="1" applyAlignment="1">
      <alignment vertical="center" wrapText="1"/>
    </xf>
    <xf numFmtId="0" fontId="25" fillId="0" borderId="21" xfId="0" applyFont="1" applyBorder="1" applyAlignment="1">
      <alignment horizontal="left"/>
    </xf>
    <xf numFmtId="0" fontId="20" fillId="0" borderId="17" xfId="0" applyFont="1" applyBorder="1" applyAlignment="1">
      <alignment horizontal="left" vertical="top" wrapText="1"/>
    </xf>
    <xf numFmtId="0" fontId="20" fillId="0" borderId="23" xfId="0" applyFont="1" applyBorder="1" applyAlignment="1">
      <alignment horizontal="left"/>
    </xf>
    <xf numFmtId="0" fontId="25" fillId="0" borderId="13" xfId="0" applyFont="1" applyBorder="1"/>
    <xf numFmtId="0" fontId="25" fillId="0" borderId="0" xfId="0" applyFont="1" applyBorder="1"/>
    <xf numFmtId="0" fontId="68" fillId="0" borderId="14" xfId="0" applyFont="1" applyBorder="1"/>
    <xf numFmtId="0" fontId="68" fillId="0" borderId="14" xfId="0" applyFont="1" applyBorder="1" applyAlignment="1">
      <alignment horizontal="left"/>
    </xf>
    <xf numFmtId="0" fontId="68" fillId="0" borderId="14" xfId="0" applyFont="1" applyFill="1" applyBorder="1"/>
    <xf numFmtId="0" fontId="87" fillId="20" borderId="18" xfId="0" applyFont="1" applyFill="1" applyBorder="1" applyAlignment="1">
      <alignment vertical="center"/>
    </xf>
    <xf numFmtId="0" fontId="87" fillId="20" borderId="19" xfId="0" applyFont="1" applyFill="1" applyBorder="1" applyAlignment="1">
      <alignment vertical="center"/>
    </xf>
    <xf numFmtId="167" fontId="87" fillId="20" borderId="18" xfId="0" applyNumberFormat="1" applyFont="1" applyFill="1" applyBorder="1" applyAlignment="1">
      <alignment vertical="center"/>
    </xf>
    <xf numFmtId="167" fontId="87" fillId="20" borderId="26" xfId="0" applyNumberFormat="1" applyFont="1" applyFill="1" applyBorder="1" applyAlignment="1">
      <alignment vertical="center"/>
    </xf>
    <xf numFmtId="4" fontId="23" fillId="0" borderId="34" xfId="0" applyNumberFormat="1" applyFont="1" applyBorder="1" applyAlignment="1">
      <alignment vertical="center"/>
    </xf>
    <xf numFmtId="0" fontId="40" fillId="0" borderId="0" xfId="0" applyFont="1" applyBorder="1" applyAlignment="1">
      <alignment vertical="center"/>
    </xf>
    <xf numFmtId="0" fontId="42" fillId="0" borderId="0" xfId="0" applyFont="1" applyBorder="1"/>
    <xf numFmtId="0" fontId="23" fillId="0" borderId="25" xfId="0" applyFont="1" applyFill="1" applyBorder="1" applyAlignment="1" applyProtection="1">
      <alignment vertical="center"/>
    </xf>
    <xf numFmtId="0" fontId="23" fillId="0" borderId="13" xfId="0" applyFont="1" applyBorder="1" applyProtection="1"/>
    <xf numFmtId="0" fontId="23" fillId="0" borderId="0" xfId="0" applyFont="1" applyBorder="1" applyProtection="1"/>
    <xf numFmtId="0" fontId="25" fillId="0" borderId="20" xfId="0" applyFont="1" applyBorder="1" applyProtection="1"/>
    <xf numFmtId="0" fontId="23" fillId="0" borderId="81"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46" xfId="0" applyFont="1" applyFill="1" applyBorder="1" applyAlignment="1">
      <alignment vertical="center"/>
    </xf>
    <xf numFmtId="0" fontId="23" fillId="0" borderId="29" xfId="0" applyFont="1" applyBorder="1" applyProtection="1"/>
    <xf numFmtId="2" fontId="77" fillId="0" borderId="22" xfId="0" applyNumberFormat="1" applyFont="1" applyBorder="1" applyAlignment="1">
      <alignment horizontal="center" vertical="center"/>
    </xf>
    <xf numFmtId="2" fontId="77" fillId="0" borderId="19" xfId="0" applyNumberFormat="1" applyFont="1" applyFill="1" applyBorder="1" applyAlignment="1">
      <alignment horizontal="center" vertical="center"/>
    </xf>
    <xf numFmtId="171" fontId="34" fillId="0" borderId="40" xfId="0" applyNumberFormat="1" applyFont="1" applyFill="1" applyBorder="1" applyAlignment="1">
      <alignment horizontal="center" vertical="center"/>
    </xf>
    <xf numFmtId="188" fontId="23" fillId="2" borderId="28" xfId="0" applyNumberFormat="1" applyFont="1" applyFill="1" applyBorder="1" applyAlignment="1" applyProtection="1">
      <alignment vertical="center"/>
      <protection locked="0"/>
    </xf>
    <xf numFmtId="188" fontId="23" fillId="2" borderId="26" xfId="0" applyNumberFormat="1" applyFont="1" applyFill="1" applyBorder="1" applyAlignment="1" applyProtection="1">
      <alignment vertical="center"/>
      <protection locked="0"/>
    </xf>
    <xf numFmtId="188" fontId="23" fillId="2" borderId="30" xfId="0" applyNumberFormat="1" applyFont="1" applyFill="1" applyBorder="1" applyAlignment="1" applyProtection="1">
      <alignment vertical="center"/>
      <protection locked="0"/>
    </xf>
    <xf numFmtId="189" fontId="23" fillId="2" borderId="26" xfId="0" applyNumberFormat="1" applyFont="1" applyFill="1" applyBorder="1" applyAlignment="1" applyProtection="1">
      <alignment vertical="center"/>
      <protection locked="0"/>
    </xf>
    <xf numFmtId="189" fontId="23" fillId="2" borderId="30" xfId="0" applyNumberFormat="1" applyFont="1" applyFill="1" applyBorder="1" applyAlignment="1" applyProtection="1">
      <alignment vertical="center"/>
      <protection locked="0"/>
    </xf>
    <xf numFmtId="189" fontId="27" fillId="0" borderId="25" xfId="0" applyNumberFormat="1" applyFont="1" applyBorder="1" applyAlignment="1">
      <alignment vertical="center"/>
    </xf>
    <xf numFmtId="0" fontId="20" fillId="0" borderId="0" xfId="0" applyFont="1" applyBorder="1" applyAlignment="1">
      <alignment horizontal="left" vertical="top" wrapText="1"/>
    </xf>
    <xf numFmtId="0" fontId="20" fillId="0" borderId="0" xfId="0" applyFont="1" applyBorder="1" applyAlignment="1">
      <alignment horizontal="left" vertical="top" wrapText="1"/>
    </xf>
    <xf numFmtId="0" fontId="34" fillId="0" borderId="19" xfId="0" applyFont="1" applyBorder="1" applyAlignment="1">
      <alignment horizontal="center" vertical="center"/>
    </xf>
    <xf numFmtId="0" fontId="34" fillId="0" borderId="18" xfId="0" applyFont="1" applyBorder="1" applyAlignment="1">
      <alignment horizontal="right" vertical="center"/>
    </xf>
    <xf numFmtId="0" fontId="77" fillId="0" borderId="18" xfId="0" applyFont="1" applyBorder="1" applyAlignment="1">
      <alignment horizontal="right" vertical="center"/>
    </xf>
    <xf numFmtId="44" fontId="23" fillId="0" borderId="35" xfId="0" applyNumberFormat="1" applyFont="1" applyFill="1" applyBorder="1" applyAlignment="1">
      <alignment vertical="center"/>
    </xf>
    <xf numFmtId="0" fontId="34" fillId="0" borderId="19" xfId="0" applyFont="1" applyBorder="1" applyAlignment="1">
      <alignment horizontal="right" vertical="center"/>
    </xf>
    <xf numFmtId="0" fontId="34" fillId="0" borderId="11" xfId="0" applyFont="1" applyBorder="1" applyAlignment="1">
      <alignment horizontal="right" vertical="center"/>
    </xf>
    <xf numFmtId="0" fontId="25" fillId="0" borderId="13" xfId="0" applyFont="1" applyBorder="1" applyAlignment="1">
      <alignment horizontal="left"/>
    </xf>
    <xf numFmtId="0" fontId="25" fillId="0" borderId="0" xfId="0" applyFont="1" applyBorder="1" applyAlignment="1">
      <alignment horizontal="left"/>
    </xf>
    <xf numFmtId="0" fontId="20" fillId="0" borderId="0" xfId="0" applyFont="1" applyBorder="1" applyAlignment="1">
      <alignment horizontal="left"/>
    </xf>
    <xf numFmtId="10" fontId="20" fillId="0" borderId="0" xfId="0" applyNumberFormat="1" applyFont="1" applyBorder="1" applyAlignment="1">
      <alignment horizontal="left" vertical="top" wrapText="1"/>
    </xf>
    <xf numFmtId="44" fontId="20" fillId="0" borderId="0" xfId="0" applyNumberFormat="1" applyFont="1" applyBorder="1" applyAlignment="1">
      <alignment horizontal="left" vertical="top" wrapText="1"/>
    </xf>
    <xf numFmtId="2" fontId="23" fillId="0" borderId="0" xfId="0" applyNumberFormat="1" applyFont="1" applyBorder="1" applyAlignment="1">
      <alignment horizontal="left" vertical="top" wrapText="1"/>
    </xf>
    <xf numFmtId="2" fontId="23" fillId="0" borderId="17" xfId="0" applyNumberFormat="1" applyFont="1" applyBorder="1" applyAlignment="1">
      <alignment horizontal="left" vertical="top" wrapText="1"/>
    </xf>
    <xf numFmtId="10" fontId="23" fillId="0" borderId="17" xfId="9" applyFont="1" applyBorder="1"/>
    <xf numFmtId="44" fontId="20" fillId="0" borderId="27" xfId="0" applyNumberFormat="1" applyFont="1" applyBorder="1" applyAlignment="1">
      <alignment horizontal="left" vertical="top" wrapText="1"/>
    </xf>
    <xf numFmtId="44" fontId="20" fillId="0" borderId="28" xfId="0" applyNumberFormat="1" applyFont="1" applyBorder="1" applyAlignment="1">
      <alignment horizontal="left" vertical="top" wrapText="1"/>
    </xf>
    <xf numFmtId="0" fontId="25" fillId="0" borderId="20" xfId="0" applyFont="1" applyBorder="1" applyAlignment="1">
      <alignment horizontal="left"/>
    </xf>
    <xf numFmtId="0" fontId="20" fillId="0" borderId="11" xfId="0" applyFont="1" applyBorder="1" applyAlignment="1">
      <alignment horizontal="left" vertical="top" wrapText="1"/>
    </xf>
    <xf numFmtId="10" fontId="20" fillId="0" borderId="11" xfId="0" applyNumberFormat="1" applyFont="1" applyBorder="1" applyAlignment="1">
      <alignment horizontal="left" vertical="top" wrapText="1"/>
    </xf>
    <xf numFmtId="0" fontId="0" fillId="0" borderId="11" xfId="0" applyBorder="1"/>
    <xf numFmtId="0" fontId="0" fillId="0" borderId="24" xfId="0" applyBorder="1"/>
    <xf numFmtId="0" fontId="0" fillId="0" borderId="14" xfId="0" applyBorder="1"/>
    <xf numFmtId="10" fontId="20" fillId="0" borderId="17" xfId="0" applyNumberFormat="1" applyFont="1" applyBorder="1" applyAlignment="1">
      <alignment horizontal="left" vertical="top" wrapText="1"/>
    </xf>
    <xf numFmtId="0" fontId="0" fillId="0" borderId="17" xfId="0" applyBorder="1"/>
    <xf numFmtId="0" fontId="0" fillId="0" borderId="23" xfId="0" applyBorder="1"/>
    <xf numFmtId="10" fontId="20" fillId="0" borderId="27" xfId="9" applyFont="1" applyBorder="1"/>
    <xf numFmtId="10" fontId="20" fillId="0" borderId="28" xfId="9" applyFont="1" applyBorder="1"/>
    <xf numFmtId="0" fontId="20" fillId="0" borderId="13" xfId="0" applyFont="1" applyBorder="1" applyAlignment="1">
      <alignment horizontal="left"/>
    </xf>
    <xf numFmtId="44" fontId="20" fillId="0" borderId="14" xfId="0" applyNumberFormat="1" applyFont="1" applyBorder="1" applyAlignment="1">
      <alignment horizontal="left" vertical="top" wrapText="1"/>
    </xf>
    <xf numFmtId="0" fontId="20" fillId="0" borderId="21" xfId="0" applyFont="1" applyBorder="1" applyAlignment="1">
      <alignment horizontal="left"/>
    </xf>
    <xf numFmtId="44" fontId="20" fillId="0" borderId="23" xfId="0" applyNumberFormat="1" applyFont="1" applyBorder="1" applyAlignment="1">
      <alignment horizontal="left" vertical="top" wrapText="1"/>
    </xf>
    <xf numFmtId="10" fontId="20" fillId="0" borderId="17" xfId="9" applyFont="1" applyBorder="1"/>
    <xf numFmtId="2" fontId="23" fillId="0" borderId="20" xfId="0" applyNumberFormat="1" applyFont="1" applyBorder="1" applyAlignment="1">
      <alignment horizontal="left"/>
    </xf>
    <xf numFmtId="2" fontId="23" fillId="0" borderId="11" xfId="0" applyNumberFormat="1" applyFont="1" applyBorder="1" applyAlignment="1">
      <alignment horizontal="left" vertical="top" wrapText="1"/>
    </xf>
    <xf numFmtId="10" fontId="23" fillId="0" borderId="11" xfId="9" applyFont="1" applyBorder="1"/>
    <xf numFmtId="2" fontId="23" fillId="0" borderId="13" xfId="0" applyNumberFormat="1" applyFont="1" applyBorder="1" applyAlignment="1">
      <alignment horizontal="left"/>
    </xf>
    <xf numFmtId="10" fontId="23" fillId="0" borderId="0" xfId="9" applyFont="1" applyBorder="1"/>
    <xf numFmtId="2" fontId="23" fillId="0" borderId="18" xfId="0" applyNumberFormat="1" applyFont="1" applyBorder="1" applyAlignment="1">
      <alignment horizontal="left"/>
    </xf>
    <xf numFmtId="2" fontId="23" fillId="0" borderId="19" xfId="0" applyNumberFormat="1" applyFont="1" applyBorder="1" applyAlignment="1">
      <alignment horizontal="left" vertical="top" wrapText="1"/>
    </xf>
    <xf numFmtId="44" fontId="23" fillId="0" borderId="19" xfId="15" applyFont="1" applyBorder="1" applyAlignment="1">
      <alignment horizontal="left" vertical="top" wrapText="1"/>
    </xf>
    <xf numFmtId="0" fontId="20" fillId="0" borderId="22" xfId="0" applyFont="1" applyBorder="1" applyAlignment="1">
      <alignment horizontal="left"/>
    </xf>
    <xf numFmtId="2" fontId="23" fillId="0" borderId="19" xfId="5" applyNumberFormat="1" applyFont="1" applyBorder="1" applyAlignment="1">
      <alignment horizontal="left"/>
    </xf>
    <xf numFmtId="0" fontId="23" fillId="0" borderId="22" xfId="0" applyFont="1" applyBorder="1" applyAlignment="1">
      <alignment horizontal="left"/>
    </xf>
    <xf numFmtId="44" fontId="23" fillId="0" borderId="18" xfId="15" applyFont="1" applyBorder="1" applyAlignment="1">
      <alignment horizontal="left" vertical="top" wrapText="1"/>
    </xf>
    <xf numFmtId="44" fontId="23" fillId="0" borderId="22" xfId="15" applyFont="1" applyBorder="1" applyAlignment="1">
      <alignment horizontal="left" vertical="top" wrapText="1"/>
    </xf>
    <xf numFmtId="10" fontId="55" fillId="0" borderId="28" xfId="9" applyNumberFormat="1" applyFont="1" applyBorder="1" applyAlignment="1">
      <alignment vertical="center"/>
    </xf>
    <xf numFmtId="10" fontId="23" fillId="2" borderId="30" xfId="0" applyNumberFormat="1" applyFont="1" applyFill="1" applyBorder="1" applyProtection="1">
      <protection locked="0"/>
    </xf>
    <xf numFmtId="0" fontId="23" fillId="0" borderId="46" xfId="0" applyFont="1" applyFill="1" applyBorder="1" applyAlignment="1">
      <alignment horizontal="center" vertical="center"/>
    </xf>
    <xf numFmtId="189" fontId="23" fillId="2" borderId="28" xfId="0" applyNumberFormat="1" applyFont="1" applyFill="1" applyBorder="1" applyAlignment="1" applyProtection="1">
      <alignment vertical="center"/>
      <protection locked="0"/>
    </xf>
    <xf numFmtId="169" fontId="34" fillId="0" borderId="9" xfId="0" applyNumberFormat="1" applyFont="1" applyBorder="1" applyAlignment="1">
      <alignment vertical="center"/>
    </xf>
    <xf numFmtId="169" fontId="34" fillId="0" borderId="17" xfId="0" applyNumberFormat="1" applyFont="1" applyBorder="1" applyAlignment="1">
      <alignment vertical="center"/>
    </xf>
    <xf numFmtId="0" fontId="23" fillId="0" borderId="75" xfId="0" applyFont="1" applyBorder="1" applyAlignment="1">
      <alignment horizontal="center" vertical="center"/>
    </xf>
    <xf numFmtId="167" fontId="23" fillId="2" borderId="53" xfId="0" applyNumberFormat="1" applyFont="1" applyFill="1" applyBorder="1" applyAlignment="1" applyProtection="1">
      <alignment vertical="center"/>
      <protection locked="0"/>
    </xf>
    <xf numFmtId="167" fontId="23" fillId="0" borderId="4" xfId="0" applyNumberFormat="1" applyFont="1" applyBorder="1" applyAlignment="1">
      <alignment vertical="center"/>
    </xf>
    <xf numFmtId="0" fontId="25" fillId="0" borderId="11" xfId="0" applyFont="1" applyBorder="1" applyAlignment="1">
      <alignment horizontal="left" vertical="top" wrapText="1"/>
    </xf>
    <xf numFmtId="10" fontId="25" fillId="0" borderId="11" xfId="0" applyNumberFormat="1" applyFont="1" applyBorder="1" applyAlignment="1">
      <alignment horizontal="left" vertical="top" wrapText="1"/>
    </xf>
    <xf numFmtId="10" fontId="25" fillId="0" borderId="29" xfId="9" applyFont="1" applyBorder="1"/>
    <xf numFmtId="44" fontId="25" fillId="0" borderId="29" xfId="0" applyNumberFormat="1" applyFont="1" applyBorder="1" applyAlignment="1">
      <alignment horizontal="center" vertical="top" wrapText="1"/>
    </xf>
    <xf numFmtId="44" fontId="25" fillId="0" borderId="24" xfId="0" applyNumberFormat="1" applyFont="1" applyBorder="1" applyAlignment="1">
      <alignment horizontal="left" vertical="top" wrapText="1"/>
    </xf>
    <xf numFmtId="2" fontId="23" fillId="0" borderId="0" xfId="0" applyNumberFormat="1" applyFont="1" applyBorder="1"/>
    <xf numFmtId="2" fontId="23" fillId="0" borderId="13" xfId="0" applyNumberFormat="1" applyFont="1" applyBorder="1"/>
    <xf numFmtId="2" fontId="23" fillId="0" borderId="21" xfId="0" applyNumberFormat="1" applyFont="1" applyBorder="1" applyAlignment="1">
      <alignment horizontal="left"/>
    </xf>
    <xf numFmtId="44" fontId="91" fillId="21" borderId="13" xfId="15" applyFont="1" applyFill="1" applyBorder="1" applyAlignment="1">
      <alignment horizontal="left" vertical="top" wrapText="1"/>
    </xf>
    <xf numFmtId="44" fontId="91" fillId="21" borderId="14" xfId="15" applyFont="1" applyFill="1" applyBorder="1"/>
    <xf numFmtId="44" fontId="91" fillId="21" borderId="14" xfId="15" applyFont="1" applyFill="1" applyBorder="1" applyAlignment="1">
      <alignment horizontal="left" vertical="top" wrapText="1"/>
    </xf>
    <xf numFmtId="44" fontId="91" fillId="21" borderId="13" xfId="15" applyFont="1" applyFill="1" applyBorder="1"/>
    <xf numFmtId="44" fontId="91" fillId="21" borderId="21" xfId="15" applyFont="1" applyFill="1" applyBorder="1" applyAlignment="1">
      <alignment horizontal="left" vertical="top" wrapText="1"/>
    </xf>
    <xf numFmtId="44" fontId="91" fillId="21" borderId="23" xfId="15" applyFont="1" applyFill="1" applyBorder="1" applyAlignment="1">
      <alignment horizontal="left" vertical="top" wrapText="1"/>
    </xf>
    <xf numFmtId="44" fontId="91" fillId="21" borderId="20" xfId="15" applyFont="1" applyFill="1" applyBorder="1" applyAlignment="1">
      <alignment horizontal="left" vertical="top" wrapText="1"/>
    </xf>
    <xf numFmtId="44" fontId="91" fillId="21" borderId="24" xfId="15" applyFont="1" applyFill="1" applyBorder="1" applyAlignment="1">
      <alignment horizontal="left" vertical="top" wrapText="1"/>
    </xf>
    <xf numFmtId="44" fontId="91" fillId="6" borderId="13" xfId="15" applyFont="1" applyFill="1" applyBorder="1" applyAlignment="1">
      <alignment horizontal="left" vertical="top" wrapText="1"/>
    </xf>
    <xf numFmtId="44" fontId="91" fillId="6" borderId="14" xfId="15" applyFont="1" applyFill="1" applyBorder="1" applyAlignment="1">
      <alignment horizontal="left" vertical="top" wrapText="1"/>
    </xf>
    <xf numFmtId="44" fontId="91" fillId="6" borderId="21" xfId="15" applyFont="1" applyFill="1" applyBorder="1" applyAlignment="1">
      <alignment horizontal="left" vertical="top" wrapText="1"/>
    </xf>
    <xf numFmtId="44" fontId="91" fillId="6" borderId="23" xfId="15" applyFont="1" applyFill="1" applyBorder="1" applyAlignment="1">
      <alignment horizontal="left" vertical="top" wrapText="1"/>
    </xf>
    <xf numFmtId="44" fontId="91" fillId="6" borderId="20" xfId="15" applyFont="1" applyFill="1" applyBorder="1" applyAlignment="1">
      <alignment horizontal="left" vertical="top" wrapText="1"/>
    </xf>
    <xf numFmtId="44" fontId="91" fillId="6" borderId="11" xfId="15" applyFont="1" applyFill="1" applyBorder="1" applyAlignment="1">
      <alignment horizontal="left" vertical="top" wrapText="1"/>
    </xf>
    <xf numFmtId="0" fontId="90" fillId="0" borderId="26" xfId="0" applyFont="1" applyFill="1" applyBorder="1" applyAlignment="1">
      <alignment horizontal="left" vertical="top"/>
    </xf>
    <xf numFmtId="0" fontId="91" fillId="0" borderId="27" xfId="0" applyFont="1" applyFill="1" applyBorder="1" applyAlignment="1">
      <alignment horizontal="left"/>
    </xf>
    <xf numFmtId="44" fontId="91" fillId="0" borderId="27" xfId="0" applyNumberFormat="1" applyFont="1" applyFill="1" applyBorder="1" applyAlignment="1">
      <alignment horizontal="left"/>
    </xf>
    <xf numFmtId="44" fontId="91" fillId="0" borderId="28" xfId="0" applyNumberFormat="1" applyFont="1" applyFill="1" applyBorder="1" applyAlignment="1">
      <alignment horizontal="left"/>
    </xf>
    <xf numFmtId="44" fontId="91" fillId="0" borderId="29" xfId="0" applyNumberFormat="1" applyFont="1" applyFill="1" applyBorder="1" applyAlignment="1">
      <alignment horizontal="left"/>
    </xf>
    <xf numFmtId="44" fontId="23" fillId="0" borderId="27" xfId="0" applyNumberFormat="1" applyFont="1" applyFill="1" applyBorder="1" applyAlignment="1">
      <alignment horizontal="left"/>
    </xf>
    <xf numFmtId="44" fontId="23" fillId="0" borderId="28" xfId="0" applyNumberFormat="1" applyFont="1" applyFill="1" applyBorder="1" applyAlignment="1">
      <alignment horizontal="left"/>
    </xf>
    <xf numFmtId="2" fontId="23" fillId="22" borderId="13" xfId="0" applyNumberFormat="1" applyFont="1" applyFill="1" applyBorder="1" applyAlignment="1">
      <alignment horizontal="left"/>
    </xf>
    <xf numFmtId="2" fontId="23" fillId="22" borderId="0" xfId="0" applyNumberFormat="1" applyFont="1" applyFill="1" applyBorder="1" applyAlignment="1">
      <alignment horizontal="left" vertical="top" wrapText="1"/>
    </xf>
    <xf numFmtId="10" fontId="23" fillId="22" borderId="0" xfId="9" applyFont="1" applyFill="1" applyBorder="1"/>
    <xf numFmtId="44" fontId="23" fillId="22" borderId="13" xfId="15" applyFont="1" applyFill="1" applyBorder="1" applyAlignment="1">
      <alignment horizontal="left" vertical="top" wrapText="1"/>
    </xf>
    <xf numFmtId="44" fontId="23" fillId="22" borderId="14" xfId="15" applyFont="1" applyFill="1" applyBorder="1" applyAlignment="1">
      <alignment horizontal="left" vertical="top" wrapText="1"/>
    </xf>
    <xf numFmtId="44" fontId="23" fillId="22" borderId="0" xfId="15" applyFont="1" applyFill="1" applyBorder="1" applyAlignment="1">
      <alignment horizontal="left" vertical="top" wrapText="1"/>
    </xf>
    <xf numFmtId="2" fontId="23" fillId="23" borderId="13" xfId="0" applyNumberFormat="1" applyFont="1" applyFill="1" applyBorder="1" applyAlignment="1">
      <alignment horizontal="left"/>
    </xf>
    <xf numFmtId="2" fontId="23" fillId="23" borderId="0" xfId="0" applyNumberFormat="1" applyFont="1" applyFill="1" applyBorder="1" applyAlignment="1">
      <alignment horizontal="left" vertical="top" wrapText="1"/>
    </xf>
    <xf numFmtId="10" fontId="23" fillId="23" borderId="0" xfId="9" applyFont="1" applyFill="1" applyBorder="1"/>
    <xf numFmtId="44" fontId="23" fillId="23" borderId="13" xfId="15" applyFont="1" applyFill="1" applyBorder="1" applyAlignment="1">
      <alignment horizontal="left" vertical="top" wrapText="1"/>
    </xf>
    <xf numFmtId="44" fontId="23" fillId="23" borderId="14" xfId="15" applyFont="1" applyFill="1" applyBorder="1" applyAlignment="1">
      <alignment horizontal="left" vertical="top" wrapText="1"/>
    </xf>
    <xf numFmtId="44" fontId="23" fillId="23" borderId="0" xfId="15" applyFont="1" applyFill="1" applyBorder="1" applyAlignment="1">
      <alignment horizontal="left" vertical="top" wrapText="1"/>
    </xf>
    <xf numFmtId="2" fontId="23" fillId="24" borderId="13" xfId="0" applyNumberFormat="1" applyFont="1" applyFill="1" applyBorder="1" applyAlignment="1">
      <alignment horizontal="left"/>
    </xf>
    <xf numFmtId="2" fontId="23" fillId="24" borderId="0" xfId="0" applyNumberFormat="1" applyFont="1" applyFill="1" applyBorder="1" applyAlignment="1">
      <alignment horizontal="left" vertical="top" wrapText="1"/>
    </xf>
    <xf numFmtId="10" fontId="23" fillId="24" borderId="0" xfId="9" applyFont="1" applyFill="1" applyBorder="1"/>
    <xf numFmtId="44" fontId="23" fillId="24" borderId="13" xfId="15" applyFont="1" applyFill="1" applyBorder="1" applyAlignment="1">
      <alignment horizontal="left" vertical="top" wrapText="1"/>
    </xf>
    <xf numFmtId="44" fontId="23" fillId="24" borderId="14" xfId="15" applyFont="1" applyFill="1" applyBorder="1" applyAlignment="1">
      <alignment horizontal="left" vertical="top" wrapText="1"/>
    </xf>
    <xf numFmtId="44" fontId="23" fillId="24" borderId="0" xfId="15" applyFont="1" applyFill="1" applyBorder="1" applyAlignment="1">
      <alignment horizontal="left" vertical="top" wrapText="1"/>
    </xf>
    <xf numFmtId="44" fontId="23" fillId="0" borderId="25" xfId="15" applyFont="1" applyFill="1" applyBorder="1" applyAlignment="1" applyProtection="1">
      <alignment vertical="center"/>
    </xf>
    <xf numFmtId="4" fontId="23" fillId="5" borderId="40" xfId="0" applyNumberFormat="1" applyFont="1" applyFill="1" applyBorder="1" applyAlignment="1" applyProtection="1">
      <alignment vertical="center"/>
    </xf>
    <xf numFmtId="44" fontId="23" fillId="2" borderId="25" xfId="15" applyFont="1" applyFill="1" applyBorder="1" applyAlignment="1" applyProtection="1">
      <alignment vertical="center"/>
      <protection locked="0"/>
    </xf>
    <xf numFmtId="4" fontId="92" fillId="0" borderId="48" xfId="0" applyNumberFormat="1" applyFont="1" applyBorder="1" applyAlignment="1">
      <alignment horizontal="center" vertical="center"/>
    </xf>
    <xf numFmtId="0" fontId="66" fillId="14" borderId="3" xfId="0" applyFont="1" applyFill="1" applyBorder="1" applyAlignment="1" applyProtection="1">
      <alignment vertical="center" wrapText="1"/>
    </xf>
    <xf numFmtId="0" fontId="23" fillId="0" borderId="21" xfId="0" applyFont="1" applyBorder="1" applyProtection="1"/>
    <xf numFmtId="0" fontId="23" fillId="14" borderId="0" xfId="0" applyFont="1" applyFill="1" applyBorder="1" applyProtection="1"/>
    <xf numFmtId="10" fontId="55" fillId="0" borderId="18" xfId="9" applyFont="1" applyBorder="1" applyAlignment="1" applyProtection="1">
      <alignment vertical="center"/>
    </xf>
    <xf numFmtId="0" fontId="77" fillId="0" borderId="10" xfId="0" applyFont="1" applyBorder="1" applyAlignment="1">
      <alignment horizontal="center" vertical="center"/>
    </xf>
    <xf numFmtId="0" fontId="55" fillId="0" borderId="18" xfId="0" applyFont="1" applyBorder="1"/>
    <xf numFmtId="0" fontId="55" fillId="0" borderId="19" xfId="0" applyFont="1" applyBorder="1"/>
    <xf numFmtId="0" fontId="55" fillId="0" borderId="26" xfId="0" applyFont="1" applyBorder="1" applyAlignment="1">
      <alignment horizontal="center" vertical="center"/>
    </xf>
    <xf numFmtId="0" fontId="55" fillId="0" borderId="18" xfId="0" applyFont="1" applyBorder="1" applyAlignment="1">
      <alignment horizontal="center" vertical="center"/>
    </xf>
    <xf numFmtId="167" fontId="100" fillId="0" borderId="28" xfId="0" applyNumberFormat="1" applyFont="1" applyBorder="1" applyAlignment="1">
      <alignment vertical="center"/>
    </xf>
    <xf numFmtId="167" fontId="100" fillId="0" borderId="79" xfId="0" applyNumberFormat="1" applyFont="1" applyBorder="1" applyAlignment="1">
      <alignment horizontal="center" vertical="center"/>
    </xf>
    <xf numFmtId="169" fontId="55" fillId="0" borderId="80" xfId="0" applyNumberFormat="1" applyFont="1" applyFill="1" applyBorder="1"/>
    <xf numFmtId="167" fontId="100" fillId="0" borderId="52" xfId="0" applyNumberFormat="1" applyFont="1" applyFill="1" applyBorder="1" applyAlignment="1">
      <alignment horizontal="center" vertical="center"/>
    </xf>
    <xf numFmtId="169" fontId="55" fillId="0" borderId="53" xfId="0" applyNumberFormat="1" applyFont="1" applyFill="1" applyBorder="1"/>
    <xf numFmtId="167" fontId="100" fillId="0" borderId="76" xfId="0" applyNumberFormat="1" applyFont="1" applyFill="1" applyBorder="1" applyAlignment="1">
      <alignment horizontal="center" vertical="center"/>
    </xf>
    <xf numFmtId="167" fontId="100" fillId="0" borderId="27" xfId="0" applyNumberFormat="1" applyFont="1" applyBorder="1" applyAlignment="1">
      <alignment vertical="center"/>
    </xf>
    <xf numFmtId="167" fontId="100" fillId="0" borderId="54" xfId="0" applyNumberFormat="1" applyFont="1" applyFill="1" applyBorder="1" applyAlignment="1">
      <alignment horizontal="center" vertical="center"/>
    </xf>
    <xf numFmtId="167" fontId="100" fillId="0" borderId="30" xfId="0" applyNumberFormat="1" applyFont="1" applyFill="1" applyBorder="1" applyAlignment="1">
      <alignment horizontal="center" vertical="center"/>
    </xf>
    <xf numFmtId="169" fontId="55" fillId="0" borderId="55" xfId="0" applyNumberFormat="1" applyFont="1" applyFill="1" applyBorder="1"/>
    <xf numFmtId="0" fontId="100" fillId="0" borderId="68" xfId="0" applyFont="1" applyBorder="1" applyAlignment="1">
      <alignment horizontal="center" vertical="center"/>
    </xf>
    <xf numFmtId="171" fontId="100" fillId="0" borderId="42" xfId="5" applyNumberFormat="1" applyFont="1" applyBorder="1" applyAlignment="1">
      <alignment vertical="center"/>
    </xf>
    <xf numFmtId="10" fontId="23" fillId="0" borderId="18" xfId="9" applyNumberFormat="1" applyFont="1" applyFill="1" applyBorder="1" applyAlignment="1" applyProtection="1">
      <alignment vertical="center"/>
    </xf>
    <xf numFmtId="10" fontId="23" fillId="0" borderId="30" xfId="9" applyNumberFormat="1" applyFont="1" applyFill="1" applyBorder="1" applyAlignment="1" applyProtection="1">
      <alignment vertical="center"/>
    </xf>
    <xf numFmtId="0" fontId="54" fillId="0" borderId="13" xfId="0" applyNumberFormat="1" applyFont="1" applyFill="1" applyBorder="1" applyAlignment="1" applyProtection="1">
      <alignment wrapText="1"/>
    </xf>
    <xf numFmtId="0" fontId="54" fillId="0" borderId="18" xfId="0" applyFont="1" applyBorder="1" applyAlignment="1" applyProtection="1">
      <alignment horizontal="right" vertical="center"/>
    </xf>
    <xf numFmtId="191" fontId="54" fillId="0" borderId="22" xfId="0" applyNumberFormat="1" applyFont="1" applyBorder="1" applyAlignment="1" applyProtection="1">
      <alignment vertical="center"/>
    </xf>
    <xf numFmtId="0" fontId="54" fillId="0" borderId="13" xfId="0" applyFont="1" applyFill="1" applyBorder="1" applyAlignment="1" applyProtection="1"/>
    <xf numFmtId="185" fontId="54" fillId="0" borderId="14" xfId="15" applyNumberFormat="1" applyFont="1" applyFill="1" applyBorder="1" applyAlignment="1" applyProtection="1"/>
    <xf numFmtId="191" fontId="103" fillId="0" borderId="23" xfId="0" applyNumberFormat="1" applyFont="1" applyBorder="1" applyAlignment="1" applyProtection="1">
      <alignment vertical="center"/>
    </xf>
    <xf numFmtId="0" fontId="23" fillId="0" borderId="20" xfId="0" applyFont="1" applyBorder="1" applyProtection="1"/>
    <xf numFmtId="187" fontId="23" fillId="0" borderId="26" xfId="0" applyNumberFormat="1" applyFont="1" applyFill="1" applyBorder="1" applyAlignment="1" applyProtection="1">
      <alignment vertical="center"/>
    </xf>
    <xf numFmtId="187" fontId="11" fillId="0" borderId="28" xfId="9" applyNumberFormat="1" applyFont="1" applyBorder="1" applyAlignment="1">
      <alignment horizontal="center" vertical="center"/>
    </xf>
    <xf numFmtId="187" fontId="11" fillId="0" borderId="27" xfId="9" applyNumberFormat="1" applyFont="1" applyBorder="1" applyAlignment="1">
      <alignment horizontal="center" vertical="center"/>
    </xf>
    <xf numFmtId="187" fontId="11" fillId="0" borderId="21" xfId="9" applyNumberFormat="1" applyFont="1" applyBorder="1" applyAlignment="1">
      <alignment horizontal="center" vertical="center"/>
    </xf>
    <xf numFmtId="187" fontId="47" fillId="0" borderId="28" xfId="9" applyNumberFormat="1" applyFont="1" applyFill="1" applyBorder="1" applyAlignment="1" applyProtection="1">
      <alignment vertical="center"/>
    </xf>
    <xf numFmtId="187" fontId="11" fillId="0" borderId="75" xfId="9" applyNumberFormat="1" applyFont="1" applyFill="1" applyBorder="1" applyAlignment="1">
      <alignment horizontal="center" vertical="center"/>
    </xf>
    <xf numFmtId="187" fontId="11" fillId="0" borderId="3" xfId="9" applyNumberFormat="1" applyFont="1" applyFill="1" applyBorder="1" applyAlignment="1">
      <alignment horizontal="center" vertical="center"/>
    </xf>
    <xf numFmtId="187" fontId="11" fillId="0" borderId="28" xfId="23" applyNumberFormat="1" applyFont="1" applyBorder="1" applyAlignment="1">
      <alignment horizontal="center" vertical="center"/>
    </xf>
    <xf numFmtId="187" fontId="47" fillId="2" borderId="28" xfId="23" applyNumberFormat="1" applyFont="1" applyFill="1" applyBorder="1" applyAlignment="1" applyProtection="1">
      <alignment vertical="center"/>
      <protection locked="0"/>
    </xf>
    <xf numFmtId="187" fontId="47" fillId="2" borderId="28" xfId="23" applyNumberFormat="1" applyFont="1" applyFill="1" applyBorder="1" applyAlignment="1" applyProtection="1">
      <alignment horizontal="center" vertical="center"/>
      <protection locked="0"/>
    </xf>
    <xf numFmtId="187" fontId="11" fillId="0" borderId="26" xfId="23" applyNumberFormat="1" applyFont="1" applyBorder="1" applyAlignment="1">
      <alignment horizontal="center" vertical="center"/>
    </xf>
    <xf numFmtId="187" fontId="47" fillId="2" borderId="26" xfId="23" applyNumberFormat="1" applyFont="1" applyFill="1" applyBorder="1" applyAlignment="1" applyProtection="1">
      <alignment vertical="center"/>
      <protection locked="0"/>
    </xf>
    <xf numFmtId="187" fontId="47" fillId="2" borderId="26" xfId="23" applyNumberFormat="1" applyFont="1" applyFill="1" applyBorder="1" applyAlignment="1" applyProtection="1">
      <alignment horizontal="center" vertical="center"/>
      <protection locked="0"/>
    </xf>
    <xf numFmtId="187" fontId="11" fillId="0" borderId="21" xfId="23" applyNumberFormat="1" applyFont="1" applyBorder="1" applyAlignment="1">
      <alignment horizontal="center" vertical="center"/>
    </xf>
    <xf numFmtId="187" fontId="11" fillId="0" borderId="55" xfId="23" applyNumberFormat="1" applyFont="1" applyBorder="1" applyAlignment="1">
      <alignment horizontal="center" vertical="center"/>
    </xf>
    <xf numFmtId="187" fontId="23" fillId="0" borderId="28" xfId="0" applyNumberFormat="1" applyFont="1" applyFill="1" applyBorder="1" applyAlignment="1" applyProtection="1">
      <alignment vertical="center"/>
    </xf>
    <xf numFmtId="187" fontId="23" fillId="0" borderId="17" xfId="0" applyNumberFormat="1" applyFont="1" applyBorder="1" applyAlignment="1">
      <alignment vertical="center"/>
    </xf>
    <xf numFmtId="187" fontId="23" fillId="0" borderId="18" xfId="0" applyNumberFormat="1" applyFont="1" applyBorder="1" applyAlignment="1">
      <alignment vertical="center"/>
    </xf>
    <xf numFmtId="167" fontId="104" fillId="0" borderId="66" xfId="0" applyNumberFormat="1" applyFont="1" applyBorder="1" applyAlignment="1">
      <alignment vertical="center"/>
    </xf>
    <xf numFmtId="167" fontId="104" fillId="0" borderId="28" xfId="0" applyNumberFormat="1" applyFont="1" applyBorder="1" applyAlignment="1">
      <alignment vertical="center"/>
    </xf>
    <xf numFmtId="167" fontId="104" fillId="0" borderId="17" xfId="0" applyNumberFormat="1" applyFont="1" applyBorder="1" applyAlignment="1">
      <alignment vertical="center"/>
    </xf>
    <xf numFmtId="167" fontId="104" fillId="0" borderId="41" xfId="0" applyNumberFormat="1" applyFont="1" applyBorder="1" applyAlignment="1">
      <alignment vertical="center"/>
    </xf>
    <xf numFmtId="167" fontId="104" fillId="0" borderId="30" xfId="0" applyNumberFormat="1" applyFont="1" applyBorder="1" applyAlignment="1">
      <alignment vertical="center"/>
    </xf>
    <xf numFmtId="167" fontId="104" fillId="0" borderId="43" xfId="0" applyNumberFormat="1" applyFont="1" applyBorder="1" applyAlignment="1">
      <alignment vertical="center"/>
    </xf>
    <xf numFmtId="0" fontId="105" fillId="0" borderId="26" xfId="0" applyFont="1" applyBorder="1" applyAlignment="1">
      <alignment vertical="center"/>
    </xf>
    <xf numFmtId="0" fontId="105" fillId="0" borderId="26" xfId="0" applyFont="1" applyBorder="1" applyAlignment="1">
      <alignment horizontal="center" vertical="center"/>
    </xf>
    <xf numFmtId="2" fontId="105" fillId="0" borderId="18" xfId="0" applyNumberFormat="1" applyFont="1" applyBorder="1" applyAlignment="1">
      <alignment horizontal="center" vertical="center"/>
    </xf>
    <xf numFmtId="167" fontId="105" fillId="0" borderId="26" xfId="0" applyNumberFormat="1" applyFont="1" applyBorder="1" applyAlignment="1">
      <alignment horizontal="center" vertical="center"/>
    </xf>
    <xf numFmtId="167" fontId="105" fillId="0" borderId="18" xfId="0" applyNumberFormat="1" applyFont="1" applyBorder="1" applyAlignment="1">
      <alignment horizontal="center" vertical="center"/>
    </xf>
    <xf numFmtId="0" fontId="105" fillId="0" borderId="30" xfId="0" applyFont="1" applyBorder="1" applyAlignment="1">
      <alignment vertical="center"/>
    </xf>
    <xf numFmtId="0" fontId="105" fillId="0" borderId="30" xfId="0" applyFont="1" applyBorder="1" applyAlignment="1">
      <alignment horizontal="center" vertical="center"/>
    </xf>
    <xf numFmtId="2" fontId="105" fillId="0" borderId="31" xfId="0" applyNumberFormat="1" applyFont="1" applyBorder="1" applyAlignment="1">
      <alignment horizontal="center" vertical="center"/>
    </xf>
    <xf numFmtId="167" fontId="105" fillId="0" borderId="30" xfId="0" applyNumberFormat="1" applyFont="1" applyBorder="1" applyAlignment="1">
      <alignment horizontal="center" vertical="center"/>
    </xf>
    <xf numFmtId="167" fontId="105" fillId="0" borderId="31" xfId="0" applyNumberFormat="1" applyFont="1" applyBorder="1" applyAlignment="1">
      <alignment horizontal="center" vertical="center"/>
    </xf>
    <xf numFmtId="2" fontId="105" fillId="0" borderId="28" xfId="0" applyNumberFormat="1" applyFont="1" applyBorder="1" applyAlignment="1">
      <alignment horizontal="center" vertical="center"/>
    </xf>
    <xf numFmtId="167" fontId="105" fillId="0" borderId="28" xfId="0" applyNumberFormat="1" applyFont="1" applyBorder="1" applyAlignment="1">
      <alignment horizontal="center" vertical="center"/>
    </xf>
    <xf numFmtId="167" fontId="105" fillId="0" borderId="21" xfId="0" applyNumberFormat="1" applyFont="1" applyBorder="1" applyAlignment="1">
      <alignment horizontal="center" vertical="center"/>
    </xf>
    <xf numFmtId="10" fontId="34" fillId="0" borderId="40" xfId="9" applyNumberFormat="1" applyFont="1" applyBorder="1" applyAlignment="1">
      <alignment vertical="center"/>
    </xf>
    <xf numFmtId="178" fontId="34" fillId="0" borderId="26" xfId="0" applyNumberFormat="1" applyFont="1" applyFill="1" applyBorder="1" applyAlignment="1">
      <alignment horizontal="center" vertical="center"/>
    </xf>
    <xf numFmtId="167" fontId="23" fillId="0" borderId="15" xfId="0" applyNumberFormat="1" applyFont="1" applyBorder="1" applyAlignment="1">
      <alignment vertical="center"/>
    </xf>
    <xf numFmtId="174" fontId="23" fillId="0" borderId="22" xfId="0" applyNumberFormat="1"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14" fontId="22" fillId="0" borderId="60" xfId="0" applyNumberFormat="1" applyFont="1" applyBorder="1" applyAlignment="1">
      <alignment horizontal="center" vertical="center"/>
    </xf>
    <xf numFmtId="187" fontId="23" fillId="2" borderId="26" xfId="0" applyNumberFormat="1" applyFont="1" applyFill="1" applyBorder="1" applyAlignment="1" applyProtection="1">
      <alignment vertical="center"/>
      <protection locked="0"/>
    </xf>
    <xf numFmtId="187" fontId="23" fillId="2" borderId="18" xfId="0" applyNumberFormat="1" applyFont="1" applyFill="1" applyBorder="1" applyAlignment="1" applyProtection="1">
      <alignment vertical="center"/>
      <protection locked="0"/>
    </xf>
    <xf numFmtId="187" fontId="23" fillId="0" borderId="18" xfId="0" applyNumberFormat="1" applyFont="1" applyBorder="1" applyAlignment="1" applyProtection="1">
      <alignment horizontal="right" vertical="center"/>
    </xf>
    <xf numFmtId="187" fontId="23" fillId="0" borderId="26" xfId="0" applyNumberFormat="1" applyFont="1" applyBorder="1" applyAlignment="1" applyProtection="1">
      <alignment vertical="center"/>
    </xf>
    <xf numFmtId="187" fontId="23" fillId="0" borderId="18" xfId="0" applyNumberFormat="1" applyFont="1" applyBorder="1" applyAlignment="1" applyProtection="1">
      <alignment vertical="center"/>
    </xf>
    <xf numFmtId="0" fontId="94" fillId="0" borderId="18" xfId="0" applyFont="1" applyBorder="1" applyAlignment="1">
      <alignment vertical="center"/>
    </xf>
    <xf numFmtId="0" fontId="94" fillId="0" borderId="19" xfId="0" applyFont="1" applyBorder="1" applyAlignment="1">
      <alignment vertical="center"/>
    </xf>
    <xf numFmtId="0" fontId="94" fillId="0" borderId="26" xfId="0" applyFont="1" applyBorder="1" applyAlignment="1">
      <alignment horizontal="center" vertical="center"/>
    </xf>
    <xf numFmtId="0" fontId="55" fillId="0" borderId="18" xfId="0" applyFont="1" applyBorder="1" applyAlignment="1">
      <alignment vertical="center"/>
    </xf>
    <xf numFmtId="0" fontId="55" fillId="0" borderId="19" xfId="0" applyFont="1" applyBorder="1" applyAlignment="1">
      <alignment vertical="center"/>
    </xf>
    <xf numFmtId="167" fontId="55" fillId="0" borderId="26" xfId="0" applyNumberFormat="1" applyFont="1" applyBorder="1" applyAlignment="1">
      <alignment vertical="center"/>
    </xf>
    <xf numFmtId="10" fontId="55" fillId="0" borderId="26" xfId="0" applyNumberFormat="1" applyFont="1" applyFill="1" applyBorder="1" applyAlignment="1" applyProtection="1">
      <alignment vertical="center"/>
      <protection locked="0"/>
    </xf>
    <xf numFmtId="0" fontId="55" fillId="0" borderId="18" xfId="0" applyFont="1" applyBorder="1" applyAlignment="1">
      <alignment horizontal="left" vertical="center"/>
    </xf>
    <xf numFmtId="0" fontId="27" fillId="0" borderId="17" xfId="0" applyFont="1" applyBorder="1" applyAlignment="1">
      <alignment horizontal="center"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19" fillId="0" borderId="18" xfId="0" applyFont="1" applyBorder="1" applyAlignment="1">
      <alignment horizontal="center" vertical="center"/>
    </xf>
    <xf numFmtId="0" fontId="43" fillId="0" borderId="0" xfId="0" applyFont="1" applyBorder="1" applyAlignment="1">
      <alignment horizontal="left" vertical="center"/>
    </xf>
    <xf numFmtId="0" fontId="43" fillId="0" borderId="0" xfId="0" applyFont="1" applyBorder="1" applyAlignment="1">
      <alignment vertical="center" wrapText="1"/>
    </xf>
    <xf numFmtId="0" fontId="76" fillId="0" borderId="0" xfId="0" applyFont="1" applyFill="1" applyBorder="1" applyProtection="1"/>
    <xf numFmtId="0" fontId="76" fillId="0" borderId="0" xfId="0" applyFont="1" applyFill="1" applyBorder="1" applyAlignment="1" applyProtection="1"/>
    <xf numFmtId="0" fontId="70" fillId="0" borderId="0" xfId="0" applyFont="1" applyFill="1" applyBorder="1" applyProtection="1"/>
    <xf numFmtId="0" fontId="76" fillId="0" borderId="0" xfId="10" applyFont="1" applyFill="1" applyBorder="1" applyProtection="1"/>
    <xf numFmtId="14" fontId="76" fillId="0" borderId="0" xfId="10" applyNumberFormat="1" applyFont="1" applyFill="1" applyBorder="1" applyProtection="1"/>
    <xf numFmtId="0" fontId="107" fillId="0" borderId="0" xfId="0" applyFont="1" applyFill="1" applyBorder="1" applyProtection="1"/>
    <xf numFmtId="0" fontId="76" fillId="0" borderId="0" xfId="0" applyFont="1" applyFill="1" applyBorder="1"/>
    <xf numFmtId="0" fontId="107" fillId="0" borderId="0" xfId="0" applyFont="1" applyFill="1" applyBorder="1"/>
    <xf numFmtId="0" fontId="87" fillId="23" borderId="18" xfId="0" applyFont="1" applyFill="1" applyBorder="1" applyAlignment="1">
      <alignment vertical="center"/>
    </xf>
    <xf numFmtId="0" fontId="87" fillId="23" borderId="19" xfId="0" applyFont="1" applyFill="1" applyBorder="1" applyAlignment="1">
      <alignment vertical="center"/>
    </xf>
    <xf numFmtId="4" fontId="45" fillId="0" borderId="0" xfId="5" applyFont="1" applyAlignment="1">
      <alignment vertical="center"/>
    </xf>
    <xf numFmtId="165" fontId="30" fillId="0" borderId="0" xfId="5" applyNumberFormat="1" applyFont="1" applyBorder="1" applyAlignment="1">
      <alignment vertical="center"/>
    </xf>
    <xf numFmtId="165" fontId="30" fillId="7" borderId="0" xfId="5" applyNumberFormat="1" applyFont="1" applyFill="1" applyBorder="1" applyAlignment="1">
      <alignment vertical="center"/>
    </xf>
    <xf numFmtId="165" fontId="30" fillId="7" borderId="9" xfId="5" applyNumberFormat="1" applyFont="1" applyFill="1" applyBorder="1" applyAlignment="1">
      <alignment vertical="center"/>
    </xf>
    <xf numFmtId="4" fontId="45" fillId="0" borderId="8" xfId="5" applyFont="1" applyBorder="1" applyAlignment="1">
      <alignment vertical="center"/>
    </xf>
    <xf numFmtId="0" fontId="43" fillId="0" borderId="14" xfId="0" applyFont="1" applyBorder="1" applyAlignment="1">
      <alignment vertical="center" wrapText="1"/>
    </xf>
    <xf numFmtId="0" fontId="87" fillId="8" borderId="18" xfId="0" applyFont="1" applyFill="1" applyBorder="1" applyAlignment="1">
      <alignment vertical="center"/>
    </xf>
    <xf numFmtId="167" fontId="87" fillId="8" borderId="18" xfId="0" applyNumberFormat="1" applyFont="1" applyFill="1" applyBorder="1" applyAlignment="1">
      <alignment vertical="center"/>
    </xf>
    <xf numFmtId="0" fontId="87" fillId="8" borderId="19" xfId="0" applyFont="1" applyFill="1" applyBorder="1" applyAlignment="1">
      <alignment vertical="center"/>
    </xf>
    <xf numFmtId="0" fontId="109" fillId="0" borderId="24" xfId="0" applyFont="1" applyBorder="1" applyAlignment="1">
      <alignment vertical="center"/>
    </xf>
    <xf numFmtId="0" fontId="23" fillId="4" borderId="17" xfId="0" applyFont="1" applyFill="1" applyBorder="1"/>
    <xf numFmtId="0" fontId="27" fillId="4" borderId="19" xfId="0" applyFont="1" applyFill="1" applyBorder="1" applyAlignment="1">
      <alignment vertical="center"/>
    </xf>
    <xf numFmtId="0" fontId="115" fillId="6" borderId="18" xfId="0" applyFont="1" applyFill="1" applyBorder="1" applyAlignment="1">
      <alignment vertical="center" wrapText="1"/>
    </xf>
    <xf numFmtId="167" fontId="23" fillId="0" borderId="48" xfId="0" applyNumberFormat="1" applyFont="1" applyBorder="1" applyAlignment="1">
      <alignment vertical="center"/>
    </xf>
    <xf numFmtId="44" fontId="23" fillId="0" borderId="45" xfId="0" applyNumberFormat="1" applyFont="1" applyFill="1" applyBorder="1" applyAlignment="1">
      <alignment vertical="center"/>
    </xf>
    <xf numFmtId="4" fontId="23" fillId="5" borderId="29" xfId="0" applyNumberFormat="1" applyFont="1" applyFill="1" applyBorder="1" applyAlignment="1">
      <alignment vertical="center"/>
    </xf>
    <xf numFmtId="9" fontId="23" fillId="2" borderId="26" xfId="0" applyNumberFormat="1" applyFont="1" applyFill="1" applyBorder="1" applyAlignment="1" applyProtection="1">
      <alignment vertical="center"/>
      <protection locked="0"/>
    </xf>
    <xf numFmtId="179" fontId="34" fillId="16" borderId="19" xfId="0" applyNumberFormat="1" applyFont="1" applyFill="1" applyBorder="1" applyAlignment="1" applyProtection="1">
      <alignment horizontal="center" vertical="center"/>
      <protection locked="0"/>
    </xf>
    <xf numFmtId="44" fontId="23" fillId="0" borderId="21" xfId="15" applyFont="1" applyFill="1" applyBorder="1" applyAlignment="1">
      <alignment vertical="center"/>
    </xf>
    <xf numFmtId="0" fontId="76" fillId="0" borderId="0" xfId="0" applyFont="1" applyProtection="1">
      <protection hidden="1"/>
    </xf>
    <xf numFmtId="0" fontId="76" fillId="0" borderId="50" xfId="10" applyFont="1" applyBorder="1" applyProtection="1">
      <protection hidden="1"/>
    </xf>
    <xf numFmtId="0" fontId="76" fillId="0" borderId="5" xfId="0" applyFont="1" applyBorder="1" applyProtection="1">
      <protection hidden="1"/>
    </xf>
    <xf numFmtId="0" fontId="76" fillId="0" borderId="6" xfId="0" applyFont="1" applyBorder="1" applyProtection="1">
      <protection hidden="1"/>
    </xf>
    <xf numFmtId="0" fontId="76" fillId="0" borderId="30" xfId="10" applyFont="1" applyBorder="1" applyProtection="1">
      <protection hidden="1"/>
    </xf>
    <xf numFmtId="0" fontId="76" fillId="0" borderId="0" xfId="0" applyFont="1" applyBorder="1" applyProtection="1">
      <protection hidden="1"/>
    </xf>
    <xf numFmtId="0" fontId="76" fillId="0" borderId="3" xfId="0" applyFont="1" applyBorder="1" applyProtection="1">
      <protection hidden="1"/>
    </xf>
    <xf numFmtId="1" fontId="76" fillId="0" borderId="74" xfId="10" applyNumberFormat="1" applyFont="1" applyBorder="1" applyProtection="1">
      <protection hidden="1"/>
    </xf>
    <xf numFmtId="0" fontId="76" fillId="0" borderId="19" xfId="10" applyFont="1" applyBorder="1" applyProtection="1">
      <protection hidden="1"/>
    </xf>
    <xf numFmtId="0" fontId="76" fillId="0" borderId="22" xfId="10" applyFont="1" applyBorder="1" applyProtection="1">
      <protection hidden="1"/>
    </xf>
    <xf numFmtId="0" fontId="76" fillId="0" borderId="28" xfId="10" applyFont="1" applyBorder="1" applyProtection="1">
      <protection hidden="1"/>
    </xf>
    <xf numFmtId="0" fontId="76" fillId="0" borderId="0" xfId="10" applyFont="1" applyBorder="1" applyProtection="1">
      <protection hidden="1"/>
    </xf>
    <xf numFmtId="0" fontId="76" fillId="0" borderId="3" xfId="10" applyFont="1" applyBorder="1" applyProtection="1">
      <protection hidden="1"/>
    </xf>
    <xf numFmtId="0" fontId="76" fillId="0" borderId="36" xfId="10" applyFont="1" applyBorder="1" applyProtection="1">
      <protection hidden="1"/>
    </xf>
    <xf numFmtId="0" fontId="76" fillId="0" borderId="11" xfId="10" applyFont="1" applyBorder="1" applyProtection="1">
      <protection hidden="1"/>
    </xf>
    <xf numFmtId="0" fontId="76" fillId="0" borderId="24" xfId="10" applyFont="1" applyBorder="1" applyProtection="1">
      <protection hidden="1"/>
    </xf>
    <xf numFmtId="0" fontId="76" fillId="0" borderId="14" xfId="10" applyFont="1" applyBorder="1" applyProtection="1">
      <protection hidden="1"/>
    </xf>
    <xf numFmtId="0" fontId="76" fillId="0" borderId="47" xfId="10" applyFont="1" applyBorder="1" applyProtection="1">
      <protection hidden="1"/>
    </xf>
    <xf numFmtId="0" fontId="76" fillId="0" borderId="66" xfId="10" applyFont="1" applyBorder="1" applyProtection="1">
      <protection hidden="1"/>
    </xf>
    <xf numFmtId="0" fontId="76" fillId="0" borderId="17" xfId="10" applyFont="1" applyBorder="1" applyProtection="1">
      <protection hidden="1"/>
    </xf>
    <xf numFmtId="0" fontId="76" fillId="0" borderId="23" xfId="10" applyFont="1" applyBorder="1" applyProtection="1">
      <protection hidden="1"/>
    </xf>
    <xf numFmtId="0" fontId="107" fillId="0" borderId="17" xfId="10" applyFont="1" applyBorder="1" applyAlignment="1" applyProtection="1">
      <alignment horizontal="right"/>
      <protection hidden="1"/>
    </xf>
    <xf numFmtId="0" fontId="107" fillId="0" borderId="23" xfId="10" applyFont="1" applyBorder="1" applyAlignment="1" applyProtection="1">
      <alignment horizontal="right"/>
      <protection hidden="1"/>
    </xf>
    <xf numFmtId="0" fontId="76" fillId="0" borderId="74" xfId="10" applyFont="1" applyBorder="1" applyProtection="1">
      <protection hidden="1"/>
    </xf>
    <xf numFmtId="0" fontId="76" fillId="0" borderId="19" xfId="10" applyFont="1" applyBorder="1" applyAlignment="1" applyProtection="1">
      <alignment horizontal="center"/>
      <protection hidden="1"/>
    </xf>
    <xf numFmtId="0" fontId="76" fillId="0" borderId="75" xfId="10" applyFont="1" applyBorder="1" applyProtection="1">
      <protection hidden="1"/>
    </xf>
    <xf numFmtId="1" fontId="76" fillId="0" borderId="47" xfId="10" applyNumberFormat="1" applyFont="1" applyBorder="1" applyProtection="1">
      <protection hidden="1"/>
    </xf>
    <xf numFmtId="0" fontId="76" fillId="0" borderId="0" xfId="10" applyFont="1" applyBorder="1" applyAlignment="1" applyProtection="1">
      <alignment horizontal="right"/>
      <protection hidden="1"/>
    </xf>
    <xf numFmtId="1" fontId="76" fillId="0" borderId="0" xfId="10" applyNumberFormat="1" applyFont="1" applyBorder="1" applyAlignment="1" applyProtection="1">
      <alignment horizontal="right"/>
      <protection hidden="1"/>
    </xf>
    <xf numFmtId="1" fontId="76" fillId="0" borderId="0" xfId="10" applyNumberFormat="1" applyFont="1" applyBorder="1" applyProtection="1">
      <protection hidden="1"/>
    </xf>
    <xf numFmtId="0" fontId="107" fillId="0" borderId="3" xfId="10" applyFont="1" applyBorder="1" applyAlignment="1" applyProtection="1">
      <alignment horizontal="center"/>
      <protection hidden="1"/>
    </xf>
    <xf numFmtId="1" fontId="76" fillId="0" borderId="66" xfId="10" applyNumberFormat="1" applyFont="1" applyBorder="1" applyProtection="1">
      <protection hidden="1"/>
    </xf>
    <xf numFmtId="0" fontId="76" fillId="0" borderId="17" xfId="10" applyFont="1" applyBorder="1" applyAlignment="1" applyProtection="1">
      <alignment horizontal="right"/>
      <protection hidden="1"/>
    </xf>
    <xf numFmtId="1" fontId="76" fillId="0" borderId="17" xfId="10" applyNumberFormat="1" applyFont="1" applyBorder="1" applyAlignment="1" applyProtection="1">
      <alignment horizontal="right"/>
      <protection hidden="1"/>
    </xf>
    <xf numFmtId="1" fontId="76" fillId="0" borderId="17" xfId="10" applyNumberFormat="1" applyFont="1" applyBorder="1" applyProtection="1">
      <protection hidden="1"/>
    </xf>
    <xf numFmtId="0" fontId="107" fillId="0" borderId="68" xfId="10" applyFont="1" applyBorder="1" applyAlignment="1" applyProtection="1">
      <alignment horizontal="center"/>
      <protection hidden="1"/>
    </xf>
    <xf numFmtId="2" fontId="76" fillId="0" borderId="47" xfId="10" applyNumberFormat="1" applyFont="1" applyBorder="1" applyProtection="1">
      <protection hidden="1"/>
    </xf>
    <xf numFmtId="2" fontId="76" fillId="0" borderId="0" xfId="10" applyNumberFormat="1" applyFont="1" applyBorder="1" applyProtection="1">
      <protection hidden="1"/>
    </xf>
    <xf numFmtId="0" fontId="107" fillId="0" borderId="0" xfId="10" applyFont="1" applyBorder="1" applyAlignment="1" applyProtection="1">
      <alignment horizontal="center"/>
      <protection hidden="1"/>
    </xf>
    <xf numFmtId="0" fontId="107" fillId="0" borderId="47" xfId="10" applyFont="1" applyBorder="1" applyProtection="1">
      <protection hidden="1"/>
    </xf>
    <xf numFmtId="0" fontId="76" fillId="0" borderId="7" xfId="10" applyFont="1" applyBorder="1" applyProtection="1">
      <protection hidden="1"/>
    </xf>
    <xf numFmtId="0" fontId="76" fillId="0" borderId="46" xfId="10" applyFont="1" applyBorder="1" applyProtection="1">
      <protection hidden="1"/>
    </xf>
    <xf numFmtId="0" fontId="76" fillId="0" borderId="10" xfId="10" applyFont="1" applyBorder="1" applyProtection="1">
      <protection hidden="1"/>
    </xf>
    <xf numFmtId="0" fontId="76" fillId="0" borderId="9" xfId="10" applyFont="1" applyBorder="1" applyProtection="1">
      <protection hidden="1"/>
    </xf>
    <xf numFmtId="14" fontId="76" fillId="0" borderId="9" xfId="10" applyNumberFormat="1" applyFont="1" applyBorder="1" applyProtection="1">
      <protection hidden="1"/>
    </xf>
    <xf numFmtId="0" fontId="76" fillId="0" borderId="4" xfId="10" applyFont="1" applyBorder="1" applyProtection="1">
      <protection hidden="1"/>
    </xf>
    <xf numFmtId="10" fontId="116" fillId="20" borderId="22" xfId="0" applyNumberFormat="1" applyFont="1" applyFill="1" applyBorder="1" applyAlignment="1">
      <alignment vertical="center"/>
    </xf>
    <xf numFmtId="0" fontId="11" fillId="0" borderId="13" xfId="0" applyFont="1" applyBorder="1" applyAlignment="1">
      <alignment horizontal="left" vertical="center"/>
    </xf>
    <xf numFmtId="0" fontId="11" fillId="0" borderId="21" xfId="0" applyFont="1" applyBorder="1" applyAlignment="1">
      <alignment horizontal="center" vertical="center"/>
    </xf>
    <xf numFmtId="0" fontId="27" fillId="0" borderId="28" xfId="0" applyFont="1" applyFill="1" applyBorder="1" applyAlignment="1">
      <alignment horizontal="center" vertical="center"/>
    </xf>
    <xf numFmtId="0" fontId="81" fillId="2" borderId="33" xfId="0" applyFont="1" applyFill="1" applyBorder="1" applyAlignment="1">
      <alignment horizontal="center" vertical="center" wrapText="1"/>
    </xf>
    <xf numFmtId="168" fontId="0" fillId="0" borderId="0" xfId="0" applyNumberFormat="1" applyFill="1" applyBorder="1"/>
    <xf numFmtId="167" fontId="0" fillId="0" borderId="0" xfId="0" applyNumberFormat="1" applyFill="1" applyBorder="1"/>
    <xf numFmtId="0" fontId="8" fillId="0" borderId="0" xfId="0" applyFont="1" applyFill="1" applyBorder="1"/>
    <xf numFmtId="167" fontId="118" fillId="0" borderId="0" xfId="0" applyNumberFormat="1" applyFont="1" applyFill="1" applyBorder="1" applyAlignment="1">
      <alignment vertical="center"/>
    </xf>
    <xf numFmtId="174" fontId="118" fillId="0" borderId="0" xfId="0" applyNumberFormat="1" applyFont="1" applyFill="1" applyBorder="1" applyAlignment="1">
      <alignment vertical="center"/>
    </xf>
    <xf numFmtId="0" fontId="117" fillId="0" borderId="0" xfId="0" applyFont="1" applyFill="1" applyBorder="1"/>
    <xf numFmtId="0" fontId="15" fillId="0" borderId="19" xfId="0" applyFont="1" applyFill="1" applyBorder="1" applyAlignment="1">
      <alignment vertical="center"/>
    </xf>
    <xf numFmtId="0" fontId="15" fillId="0" borderId="22" xfId="0" applyFont="1" applyFill="1" applyBorder="1" applyAlignment="1">
      <alignment vertical="center"/>
    </xf>
    <xf numFmtId="0" fontId="27" fillId="2" borderId="26"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wrapText="1"/>
      <protection locked="0"/>
    </xf>
    <xf numFmtId="0" fontId="23" fillId="3" borderId="28" xfId="0" applyFont="1" applyFill="1" applyBorder="1" applyAlignment="1" applyProtection="1">
      <alignment horizontal="center" vertical="center" wrapText="1"/>
      <protection locked="0"/>
    </xf>
    <xf numFmtId="0" fontId="15" fillId="0" borderId="33" xfId="0" applyFont="1" applyFill="1" applyBorder="1" applyAlignment="1">
      <alignment vertical="center"/>
    </xf>
    <xf numFmtId="0" fontId="11" fillId="0" borderId="8" xfId="0" applyFont="1" applyBorder="1" applyAlignment="1">
      <alignment vertical="center"/>
    </xf>
    <xf numFmtId="0" fontId="18" fillId="0" borderId="8" xfId="0" applyFont="1" applyBorder="1" applyAlignment="1">
      <alignment horizontal="left" vertical="center"/>
    </xf>
    <xf numFmtId="0" fontId="16" fillId="0" borderId="8" xfId="0" applyFont="1" applyBorder="1" applyAlignment="1">
      <alignment vertical="center"/>
    </xf>
    <xf numFmtId="0" fontId="15" fillId="0" borderId="9" xfId="0" applyFont="1" applyBorder="1" applyAlignment="1">
      <alignment vertical="center"/>
    </xf>
    <xf numFmtId="0" fontId="10" fillId="0" borderId="9" xfId="0" applyFont="1" applyBorder="1" applyAlignment="1">
      <alignment vertical="center"/>
    </xf>
    <xf numFmtId="0" fontId="119" fillId="8" borderId="22" xfId="0" applyFont="1" applyFill="1" applyBorder="1" applyAlignment="1">
      <alignment vertical="center" wrapText="1"/>
    </xf>
    <xf numFmtId="0" fontId="119" fillId="20" borderId="18" xfId="0" applyFont="1" applyFill="1" applyBorder="1" applyAlignment="1">
      <alignment vertical="center" wrapText="1"/>
    </xf>
    <xf numFmtId="1" fontId="11" fillId="0" borderId="29" xfId="0" applyNumberFormat="1" applyFont="1" applyBorder="1" applyAlignment="1">
      <alignment horizontal="center" vertical="center"/>
    </xf>
    <xf numFmtId="187" fontId="11" fillId="0" borderId="29" xfId="9" applyNumberFormat="1" applyFont="1" applyBorder="1" applyAlignment="1">
      <alignment horizontal="center" vertical="center"/>
    </xf>
    <xf numFmtId="1" fontId="11" fillId="0" borderId="29" xfId="21" applyNumberFormat="1" applyFont="1" applyBorder="1" applyAlignment="1">
      <alignment horizontal="center" vertical="center"/>
    </xf>
    <xf numFmtId="10" fontId="11" fillId="0" borderId="29" xfId="23" applyNumberFormat="1" applyFont="1" applyBorder="1" applyAlignment="1">
      <alignment horizontal="center" vertical="center"/>
    </xf>
    <xf numFmtId="187" fontId="11" fillId="0" borderId="29" xfId="23" applyNumberFormat="1" applyFont="1" applyBorder="1" applyAlignment="1">
      <alignment horizontal="center" vertical="center"/>
    </xf>
    <xf numFmtId="0" fontId="23" fillId="0" borderId="13" xfId="0" quotePrefix="1" applyFont="1" applyBorder="1"/>
    <xf numFmtId="187" fontId="23" fillId="0" borderId="0" xfId="9" applyNumberFormat="1" applyFont="1" applyBorder="1"/>
    <xf numFmtId="0" fontId="23" fillId="0" borderId="19" xfId="0" applyFont="1" applyBorder="1"/>
    <xf numFmtId="10" fontId="121" fillId="0" borderId="27" xfId="9" applyFont="1" applyBorder="1" applyAlignment="1">
      <alignment horizontal="center" vertical="center"/>
    </xf>
    <xf numFmtId="10" fontId="121" fillId="0" borderId="28" xfId="9" applyFont="1" applyBorder="1" applyAlignment="1">
      <alignment horizontal="center" vertical="center"/>
    </xf>
    <xf numFmtId="0" fontId="120" fillId="0" borderId="29" xfId="21" applyFont="1" applyBorder="1"/>
    <xf numFmtId="0" fontId="120" fillId="0" borderId="27" xfId="21" applyFont="1" applyBorder="1" applyAlignment="1">
      <alignment horizontal="center"/>
    </xf>
    <xf numFmtId="0" fontId="125" fillId="0" borderId="0" xfId="0" applyFont="1" applyProtection="1"/>
    <xf numFmtId="0" fontId="125" fillId="0" borderId="0" xfId="0" applyFont="1" applyFill="1" applyBorder="1" applyProtection="1"/>
    <xf numFmtId="0" fontId="125" fillId="0" borderId="0" xfId="0" applyFont="1" applyAlignment="1" applyProtection="1"/>
    <xf numFmtId="0" fontId="125" fillId="0" borderId="0" xfId="0" applyFont="1" applyBorder="1" applyProtection="1"/>
    <xf numFmtId="0" fontId="125" fillId="0" borderId="70" xfId="0" applyFont="1" applyBorder="1" applyProtection="1"/>
    <xf numFmtId="0" fontId="125" fillId="0" borderId="0" xfId="0" applyFont="1" applyBorder="1" applyAlignment="1" applyProtection="1">
      <alignment vertical="center"/>
    </xf>
    <xf numFmtId="0" fontId="125" fillId="0" borderId="0" xfId="0" applyFont="1" applyBorder="1" applyAlignment="1" applyProtection="1">
      <alignment horizontal="center"/>
    </xf>
    <xf numFmtId="0" fontId="126" fillId="0" borderId="0" xfId="0" applyFont="1" applyAlignment="1" applyProtection="1">
      <alignment horizontal="center" vertical="top" wrapText="1"/>
    </xf>
    <xf numFmtId="0" fontId="76" fillId="0" borderId="20" xfId="0" applyFont="1" applyFill="1" applyBorder="1" applyProtection="1"/>
    <xf numFmtId="0" fontId="76" fillId="0" borderId="11" xfId="0" applyFont="1" applyFill="1" applyBorder="1" applyAlignment="1" applyProtection="1"/>
    <xf numFmtId="0" fontId="76" fillId="0" borderId="11" xfId="0" applyFont="1" applyFill="1" applyBorder="1" applyProtection="1"/>
    <xf numFmtId="0" fontId="76" fillId="0" borderId="24" xfId="0" applyFont="1" applyFill="1" applyBorder="1" applyProtection="1"/>
    <xf numFmtId="0" fontId="76" fillId="0" borderId="13" xfId="0" applyFont="1" applyFill="1" applyBorder="1" applyProtection="1"/>
    <xf numFmtId="0" fontId="76" fillId="0" borderId="14" xfId="0" applyFont="1" applyFill="1" applyBorder="1" applyProtection="1"/>
    <xf numFmtId="0" fontId="70" fillId="0" borderId="13" xfId="0" applyFont="1" applyFill="1" applyBorder="1" applyProtection="1"/>
    <xf numFmtId="0" fontId="76" fillId="0" borderId="14" xfId="0" applyFont="1" applyFill="1" applyBorder="1" applyAlignment="1" applyProtection="1"/>
    <xf numFmtId="0" fontId="76" fillId="0" borderId="13" xfId="10" applyFont="1" applyFill="1" applyBorder="1" applyProtection="1"/>
    <xf numFmtId="0" fontId="76" fillId="0" borderId="21" xfId="0" applyFont="1" applyFill="1" applyBorder="1" applyProtection="1"/>
    <xf numFmtId="0" fontId="76" fillId="0" borderId="17" xfId="0" applyFont="1" applyFill="1" applyBorder="1" applyProtection="1"/>
    <xf numFmtId="0" fontId="76" fillId="0" borderId="23" xfId="0" applyFont="1" applyFill="1" applyBorder="1" applyProtection="1"/>
    <xf numFmtId="0" fontId="125" fillId="0" borderId="29" xfId="0" applyFont="1" applyFill="1" applyBorder="1" applyProtection="1"/>
    <xf numFmtId="0" fontId="125" fillId="0" borderId="27" xfId="0" applyFont="1" applyFill="1" applyBorder="1" applyProtection="1"/>
    <xf numFmtId="0" fontId="125" fillId="0" borderId="27" xfId="0" applyFont="1" applyFill="1" applyBorder="1" applyAlignment="1" applyProtection="1"/>
    <xf numFmtId="2" fontId="125" fillId="0" borderId="27" xfId="0" applyNumberFormat="1" applyFont="1" applyFill="1" applyBorder="1" applyProtection="1"/>
    <xf numFmtId="0" fontId="125" fillId="0" borderId="28" xfId="0" applyFont="1" applyBorder="1" applyProtection="1"/>
    <xf numFmtId="10" fontId="54" fillId="0" borderId="26" xfId="9" applyFont="1" applyBorder="1" applyAlignment="1" applyProtection="1"/>
    <xf numFmtId="0" fontId="23" fillId="0" borderId="18" xfId="0" applyFont="1" applyFill="1" applyBorder="1" applyAlignment="1" applyProtection="1">
      <alignment vertical="center"/>
    </xf>
    <xf numFmtId="0" fontId="54" fillId="0" borderId="21" xfId="0" applyFont="1" applyBorder="1" applyAlignment="1" applyProtection="1">
      <alignment vertical="center"/>
    </xf>
    <xf numFmtId="0" fontId="54" fillId="0" borderId="18" xfId="0" applyFont="1" applyFill="1" applyBorder="1" applyAlignment="1" applyProtection="1"/>
    <xf numFmtId="184" fontId="54" fillId="0" borderId="22" xfId="15" applyNumberFormat="1" applyFont="1" applyFill="1" applyBorder="1" applyAlignment="1" applyProtection="1"/>
    <xf numFmtId="187" fontId="27" fillId="0" borderId="26" xfId="0" applyNumberFormat="1" applyFont="1" applyFill="1" applyBorder="1" applyAlignment="1" applyProtection="1">
      <alignment vertical="center"/>
    </xf>
    <xf numFmtId="187" fontId="27" fillId="0" borderId="26" xfId="9" applyNumberFormat="1" applyFont="1" applyBorder="1" applyAlignment="1" applyProtection="1">
      <alignment horizontal="center" vertical="center"/>
    </xf>
    <xf numFmtId="187" fontId="27" fillId="0" borderId="22" xfId="9" applyNumberFormat="1"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6" xfId="0" applyFont="1" applyBorder="1" applyAlignment="1">
      <alignment horizontal="center"/>
    </xf>
    <xf numFmtId="10" fontId="54" fillId="0" borderId="14" xfId="0" applyNumberFormat="1" applyFont="1" applyFill="1" applyBorder="1" applyAlignment="1" applyProtection="1"/>
    <xf numFmtId="184" fontId="23" fillId="2" borderId="26" xfId="5" applyNumberFormat="1" applyFont="1" applyFill="1" applyBorder="1" applyAlignment="1" applyProtection="1">
      <alignment vertical="center"/>
      <protection locked="0"/>
    </xf>
    <xf numFmtId="184" fontId="23" fillId="2" borderId="22" xfId="5" applyNumberFormat="1" applyFont="1" applyFill="1" applyBorder="1" applyAlignment="1" applyProtection="1">
      <alignment vertical="center"/>
      <protection locked="0"/>
    </xf>
    <xf numFmtId="184" fontId="23" fillId="2" borderId="27" xfId="5" applyNumberFormat="1" applyFont="1" applyFill="1" applyBorder="1" applyAlignment="1" applyProtection="1">
      <alignment vertical="center"/>
      <protection locked="0"/>
    </xf>
    <xf numFmtId="184" fontId="23" fillId="2" borderId="14" xfId="5" applyNumberFormat="1" applyFont="1" applyFill="1" applyBorder="1" applyAlignment="1" applyProtection="1">
      <alignment vertical="center"/>
      <protection locked="0"/>
    </xf>
    <xf numFmtId="4" fontId="14" fillId="0" borderId="8" xfId="0" applyNumberFormat="1" applyFont="1" applyBorder="1" applyAlignment="1">
      <alignment horizontal="center" vertical="center"/>
    </xf>
    <xf numFmtId="0" fontId="40" fillId="0" borderId="0" xfId="0" applyFont="1" applyProtection="1">
      <protection hidden="1"/>
    </xf>
    <xf numFmtId="0" fontId="40" fillId="0" borderId="0" xfId="0" applyFont="1"/>
    <xf numFmtId="179" fontId="40" fillId="0" borderId="0" xfId="0" applyNumberFormat="1" applyFont="1" applyProtection="1">
      <protection hidden="1"/>
    </xf>
    <xf numFmtId="0" fontId="40" fillId="0" borderId="14" xfId="0" applyFont="1" applyBorder="1"/>
    <xf numFmtId="0" fontId="40" fillId="0" borderId="0" xfId="0" applyFont="1" applyBorder="1" applyProtection="1">
      <protection hidden="1"/>
    </xf>
    <xf numFmtId="0" fontId="40" fillId="0" borderId="0" xfId="0" applyFont="1" applyBorder="1"/>
    <xf numFmtId="0" fontId="40" fillId="0" borderId="14" xfId="0" applyFont="1" applyFill="1" applyBorder="1"/>
    <xf numFmtId="0" fontId="40" fillId="0" borderId="0" xfId="0" applyFont="1" applyFill="1" applyProtection="1">
      <protection hidden="1"/>
    </xf>
    <xf numFmtId="0" fontId="40" fillId="0" borderId="0" xfId="0" applyFont="1" applyFill="1"/>
    <xf numFmtId="0" fontId="40" fillId="0" borderId="0" xfId="0" applyFont="1" applyFill="1" applyBorder="1" applyProtection="1">
      <protection hidden="1"/>
    </xf>
    <xf numFmtId="0" fontId="40" fillId="0" borderId="0" xfId="0" applyFont="1" applyFill="1" applyBorder="1"/>
    <xf numFmtId="187" fontId="40" fillId="0" borderId="14" xfId="9" applyNumberFormat="1" applyFont="1" applyBorder="1"/>
    <xf numFmtId="178" fontId="40" fillId="0" borderId="0" xfId="0" applyNumberFormat="1" applyFont="1" applyProtection="1">
      <protection hidden="1"/>
    </xf>
    <xf numFmtId="187" fontId="40" fillId="0" borderId="14" xfId="0" applyNumberFormat="1" applyFont="1" applyBorder="1"/>
    <xf numFmtId="0" fontId="43" fillId="0" borderId="0" xfId="0" applyFont="1" applyBorder="1" applyAlignment="1" applyProtection="1">
      <alignment vertical="center" wrapText="1"/>
      <protection hidden="1"/>
    </xf>
    <xf numFmtId="0" fontId="40" fillId="0" borderId="14" xfId="0" applyFont="1" applyBorder="1" applyAlignment="1">
      <alignment wrapText="1"/>
    </xf>
    <xf numFmtId="0" fontId="40" fillId="0" borderId="0" xfId="0" applyFont="1" applyAlignment="1" applyProtection="1">
      <alignment wrapText="1"/>
      <protection hidden="1"/>
    </xf>
    <xf numFmtId="0" fontId="40" fillId="0" borderId="0" xfId="0" applyFont="1" applyAlignment="1">
      <alignment wrapText="1"/>
    </xf>
    <xf numFmtId="0" fontId="40" fillId="0" borderId="23" xfId="0" applyFont="1" applyBorder="1"/>
    <xf numFmtId="0" fontId="34" fillId="2" borderId="23" xfId="0" applyFont="1" applyFill="1" applyBorder="1" applyAlignment="1" applyProtection="1">
      <alignment horizontal="center" vertical="center"/>
      <protection locked="0"/>
    </xf>
    <xf numFmtId="0" fontId="90" fillId="21" borderId="13" xfId="0" applyFont="1" applyFill="1" applyBorder="1" applyAlignment="1">
      <alignment horizontal="center" vertical="top" wrapText="1"/>
    </xf>
    <xf numFmtId="0" fontId="90" fillId="21" borderId="14" xfId="0" applyFont="1" applyFill="1" applyBorder="1" applyAlignment="1">
      <alignment horizontal="center" vertical="top" wrapText="1"/>
    </xf>
    <xf numFmtId="0" fontId="90" fillId="6" borderId="13" xfId="0" applyFont="1" applyFill="1" applyBorder="1" applyAlignment="1">
      <alignment horizontal="center" vertical="top" wrapText="1"/>
    </xf>
    <xf numFmtId="0" fontId="90" fillId="6" borderId="14" xfId="0" applyFont="1" applyFill="1" applyBorder="1" applyAlignment="1">
      <alignment horizontal="center" vertical="top" wrapText="1"/>
    </xf>
    <xf numFmtId="0" fontId="114" fillId="0" borderId="14" xfId="0" applyFont="1" applyBorder="1" applyAlignment="1">
      <alignment vertical="center"/>
    </xf>
    <xf numFmtId="187" fontId="11" fillId="0" borderId="20" xfId="9" applyNumberFormat="1" applyFont="1" applyBorder="1" applyAlignment="1">
      <alignment horizontal="center" vertical="center"/>
    </xf>
    <xf numFmtId="0" fontId="13" fillId="0" borderId="67" xfId="0" applyFont="1" applyFill="1" applyBorder="1" applyAlignment="1">
      <alignment horizontal="center" vertical="center"/>
    </xf>
    <xf numFmtId="187" fontId="11" fillId="0" borderId="82" xfId="9" applyNumberFormat="1" applyFont="1" applyFill="1" applyBorder="1" applyAlignment="1">
      <alignment horizontal="center" vertical="center"/>
    </xf>
    <xf numFmtId="187" fontId="11" fillId="0" borderId="4" xfId="9" applyNumberFormat="1" applyFont="1" applyFill="1" applyBorder="1" applyAlignment="1">
      <alignment horizontal="center" vertical="center"/>
    </xf>
    <xf numFmtId="175" fontId="34" fillId="0" borderId="28" xfId="15" applyNumberFormat="1" applyFont="1" applyBorder="1" applyAlignment="1">
      <alignment vertical="center"/>
    </xf>
    <xf numFmtId="175" fontId="34" fillId="0" borderId="26" xfId="15" applyNumberFormat="1" applyFont="1" applyBorder="1" applyAlignment="1">
      <alignment vertical="center"/>
    </xf>
    <xf numFmtId="175" fontId="34" fillId="0" borderId="30" xfId="15" applyNumberFormat="1" applyFont="1" applyBorder="1" applyAlignment="1">
      <alignment vertical="center"/>
    </xf>
    <xf numFmtId="167" fontId="34" fillId="0" borderId="28" xfId="0" applyNumberFormat="1" applyFont="1" applyFill="1" applyBorder="1" applyAlignment="1" applyProtection="1">
      <alignment horizontal="center" vertical="center"/>
    </xf>
    <xf numFmtId="10" fontId="34" fillId="0" borderId="28" xfId="9" applyNumberFormat="1" applyFont="1" applyBorder="1" applyAlignment="1" applyProtection="1">
      <alignment vertical="center"/>
    </xf>
    <xf numFmtId="10" fontId="34" fillId="0" borderId="26" xfId="9" applyNumberFormat="1" applyFont="1" applyBorder="1" applyAlignment="1" applyProtection="1">
      <alignment vertical="center"/>
    </xf>
    <xf numFmtId="10" fontId="34" fillId="0" borderId="30" xfId="9" applyNumberFormat="1" applyFont="1" applyBorder="1" applyAlignment="1" applyProtection="1">
      <alignment vertical="center"/>
    </xf>
    <xf numFmtId="193" fontId="34" fillId="0" borderId="28" xfId="9" applyNumberFormat="1" applyFont="1" applyBorder="1" applyAlignment="1">
      <alignment vertical="center"/>
    </xf>
    <xf numFmtId="169" fontId="34" fillId="0" borderId="17" xfId="0" applyNumberFormat="1" applyFont="1" applyFill="1" applyBorder="1"/>
    <xf numFmtId="178" fontId="34" fillId="0" borderId="28" xfId="0" applyNumberFormat="1" applyFont="1" applyBorder="1" applyAlignment="1">
      <alignment vertical="center"/>
    </xf>
    <xf numFmtId="169" fontId="34" fillId="0" borderId="19" xfId="0" applyNumberFormat="1" applyFont="1" applyFill="1" applyBorder="1"/>
    <xf numFmtId="178" fontId="34" fillId="0" borderId="26" xfId="0" applyNumberFormat="1" applyFont="1" applyBorder="1" applyAlignment="1">
      <alignment vertical="center"/>
    </xf>
    <xf numFmtId="10" fontId="34" fillId="0" borderId="26" xfId="9" applyNumberFormat="1" applyFont="1" applyBorder="1" applyAlignment="1">
      <alignment vertical="center"/>
    </xf>
    <xf numFmtId="169" fontId="34" fillId="0" borderId="43" xfId="0" applyNumberFormat="1" applyFont="1" applyFill="1" applyBorder="1"/>
    <xf numFmtId="178" fontId="34" fillId="0" borderId="30" xfId="0" applyNumberFormat="1" applyFont="1" applyBorder="1" applyAlignment="1">
      <alignment vertical="center"/>
    </xf>
    <xf numFmtId="171" fontId="34" fillId="0" borderId="30" xfId="0" applyNumberFormat="1" applyFont="1" applyBorder="1" applyAlignment="1">
      <alignment vertical="center"/>
    </xf>
    <xf numFmtId="171" fontId="34" fillId="0" borderId="40" xfId="0" applyNumberFormat="1" applyFont="1" applyBorder="1" applyAlignment="1">
      <alignment vertical="center"/>
    </xf>
    <xf numFmtId="2" fontId="34" fillId="0" borderId="28" xfId="0" applyNumberFormat="1" applyFont="1" applyFill="1" applyBorder="1" applyAlignment="1" applyProtection="1">
      <alignment horizontal="right" vertical="center"/>
    </xf>
    <xf numFmtId="2" fontId="34" fillId="0" borderId="26" xfId="0" applyNumberFormat="1" applyFont="1" applyFill="1" applyBorder="1" applyAlignment="1" applyProtection="1">
      <alignment horizontal="right" vertical="center"/>
    </xf>
    <xf numFmtId="2" fontId="34" fillId="0" borderId="30" xfId="0" applyNumberFormat="1" applyFont="1" applyFill="1" applyBorder="1" applyAlignment="1" applyProtection="1">
      <alignment horizontal="right" vertical="center"/>
    </xf>
    <xf numFmtId="194" fontId="34" fillId="0" borderId="28" xfId="0" applyNumberFormat="1" applyFont="1" applyBorder="1" applyAlignment="1" applyProtection="1">
      <alignment vertical="center"/>
    </xf>
    <xf numFmtId="194" fontId="34" fillId="0" borderId="30" xfId="0" applyNumberFormat="1" applyFont="1" applyBorder="1" applyAlignment="1" applyProtection="1">
      <alignment vertical="center"/>
    </xf>
    <xf numFmtId="195" fontId="34" fillId="0" borderId="28" xfId="0" applyNumberFormat="1" applyFont="1" applyBorder="1" applyAlignment="1" applyProtection="1">
      <alignment vertical="center"/>
    </xf>
    <xf numFmtId="0" fontId="27" fillId="0" borderId="19" xfId="0" applyFont="1" applyBorder="1" applyAlignment="1">
      <alignment vertical="center"/>
    </xf>
    <xf numFmtId="196" fontId="23" fillId="0" borderId="26" xfId="0" applyNumberFormat="1" applyFont="1" applyFill="1" applyBorder="1" applyAlignment="1" applyProtection="1">
      <alignment vertical="center"/>
    </xf>
    <xf numFmtId="10" fontId="23" fillId="0" borderId="27" xfId="9" applyNumberFormat="1" applyFont="1" applyBorder="1" applyAlignment="1">
      <alignment vertical="center"/>
    </xf>
    <xf numFmtId="0" fontId="61" fillId="0" borderId="21" xfId="0" applyFont="1" applyFill="1" applyBorder="1" applyAlignment="1">
      <alignment horizontal="left" wrapText="1"/>
    </xf>
    <xf numFmtId="0" fontId="20" fillId="0" borderId="19" xfId="0" applyFont="1" applyBorder="1" applyAlignment="1">
      <alignment wrapText="1"/>
    </xf>
    <xf numFmtId="0" fontId="23" fillId="0" borderId="29" xfId="0" applyFont="1" applyBorder="1" applyAlignment="1">
      <alignment horizontal="center" vertical="center" wrapText="1"/>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7" fillId="0" borderId="13" xfId="0" applyFont="1" applyBorder="1" applyAlignment="1">
      <alignment horizontal="left" vertical="center"/>
    </xf>
    <xf numFmtId="0" fontId="34" fillId="0" borderId="18" xfId="0" applyFont="1" applyBorder="1" applyAlignment="1">
      <alignment horizontal="left" vertical="center"/>
    </xf>
    <xf numFmtId="0" fontId="23" fillId="0" borderId="18" xfId="0" applyFont="1" applyBorder="1" applyAlignment="1">
      <alignment horizontal="center" vertical="center"/>
    </xf>
    <xf numFmtId="0" fontId="23" fillId="0" borderId="13" xfId="0" applyFont="1" applyBorder="1" applyAlignment="1">
      <alignment horizontal="left" vertical="center"/>
    </xf>
    <xf numFmtId="0" fontId="23" fillId="0" borderId="0" xfId="0" applyFont="1" applyBorder="1" applyAlignment="1">
      <alignment horizontal="left" vertic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43" fillId="0" borderId="0" xfId="0" applyFont="1" applyBorder="1" applyAlignment="1">
      <alignment horizontal="left" vertical="center"/>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0" borderId="19" xfId="0" applyFont="1" applyBorder="1" applyAlignment="1">
      <alignment horizontal="center" vertical="center"/>
    </xf>
    <xf numFmtId="0" fontId="23" fillId="0" borderId="0" xfId="0" applyFont="1" applyBorder="1" applyAlignment="1">
      <alignment horizontal="center" vertical="center"/>
    </xf>
    <xf numFmtId="4" fontId="23" fillId="0" borderId="26" xfId="0" applyNumberFormat="1" applyFont="1" applyBorder="1" applyAlignment="1">
      <alignment horizontal="center" vertical="center" wrapText="1"/>
    </xf>
    <xf numFmtId="4" fontId="23" fillId="0" borderId="25" xfId="0" applyNumberFormat="1" applyFont="1" applyBorder="1" applyAlignment="1">
      <alignment horizontal="left" vertical="center"/>
    </xf>
    <xf numFmtId="0" fontId="23" fillId="0" borderId="20" xfId="0" applyFont="1" applyBorder="1" applyAlignment="1">
      <alignment horizontal="center" vertical="center" wrapText="1"/>
    </xf>
    <xf numFmtId="0" fontId="43" fillId="0" borderId="0" xfId="0" applyFont="1" applyBorder="1" applyAlignment="1">
      <alignment vertical="center" wrapText="1"/>
    </xf>
    <xf numFmtId="4" fontId="23" fillId="0" borderId="18" xfId="0" applyNumberFormat="1" applyFont="1" applyBorder="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3" fillId="0" borderId="13" xfId="0" applyFont="1" applyBorder="1" applyAlignment="1">
      <alignment horizontal="center" vertical="center"/>
    </xf>
    <xf numFmtId="0" fontId="23" fillId="0" borderId="29" xfId="0" applyFont="1" applyBorder="1" applyAlignment="1">
      <alignment horizontal="center" vertical="center"/>
    </xf>
    <xf numFmtId="0" fontId="23" fillId="0" borderId="11"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4" fontId="23" fillId="0" borderId="14" xfId="0" applyNumberFormat="1" applyFont="1" applyBorder="1" applyAlignment="1">
      <alignment horizontal="center" vertical="center" wrapText="1"/>
    </xf>
    <xf numFmtId="0" fontId="27" fillId="0" borderId="11" xfId="0" applyFont="1" applyBorder="1" applyAlignment="1">
      <alignment vertical="center"/>
    </xf>
    <xf numFmtId="0" fontId="14" fillId="0" borderId="0" xfId="0" applyFont="1" applyBorder="1" applyAlignment="1">
      <alignment horizontal="center" vertical="center"/>
    </xf>
    <xf numFmtId="0" fontId="130" fillId="0" borderId="0" xfId="20" applyFont="1" applyAlignment="1" applyProtection="1">
      <alignment horizontal="center" vertical="center"/>
    </xf>
    <xf numFmtId="0" fontId="131" fillId="15" borderId="26" xfId="20" applyFont="1" applyFill="1" applyBorder="1" applyAlignment="1" applyProtection="1">
      <alignment horizontal="left" vertical="top"/>
    </xf>
    <xf numFmtId="0" fontId="131" fillId="20" borderId="26" xfId="20" applyFont="1" applyFill="1" applyBorder="1" applyAlignment="1" applyProtection="1">
      <alignment horizontal="left" vertical="top"/>
    </xf>
    <xf numFmtId="0" fontId="29" fillId="25" borderId="11" xfId="0" applyFont="1" applyFill="1" applyBorder="1" applyAlignment="1" applyProtection="1">
      <alignment horizontal="center" vertical="center"/>
    </xf>
    <xf numFmtId="0" fontId="29" fillId="25" borderId="24" xfId="0" applyFont="1" applyFill="1" applyBorder="1" applyAlignment="1" applyProtection="1">
      <alignment horizontal="center" vertical="center"/>
    </xf>
    <xf numFmtId="0" fontId="131" fillId="8" borderId="26" xfId="20" applyFont="1" applyFill="1" applyBorder="1" applyAlignment="1" applyProtection="1">
      <alignment horizontal="left" vertical="top"/>
    </xf>
    <xf numFmtId="0" fontId="131" fillId="23" borderId="26" xfId="20" applyFont="1" applyFill="1" applyBorder="1" applyAlignment="1" applyProtection="1">
      <alignment horizontal="left" vertical="top"/>
    </xf>
    <xf numFmtId="0" fontId="29" fillId="25" borderId="0" xfId="0" applyFont="1" applyFill="1" applyBorder="1" applyAlignment="1" applyProtection="1">
      <alignment horizontal="center" vertical="center"/>
    </xf>
    <xf numFmtId="0" fontId="29" fillId="25" borderId="14" xfId="0" applyFont="1" applyFill="1" applyBorder="1" applyAlignment="1" applyProtection="1">
      <alignment horizontal="center" vertical="center"/>
    </xf>
    <xf numFmtId="0" fontId="131" fillId="19" borderId="26" xfId="20" applyFont="1" applyFill="1" applyBorder="1" applyAlignment="1" applyProtection="1">
      <alignment horizontal="left" vertical="top" wrapText="1"/>
    </xf>
    <xf numFmtId="0" fontId="114" fillId="25" borderId="26" xfId="0" applyFont="1" applyFill="1" applyBorder="1" applyAlignment="1" applyProtection="1">
      <alignment horizontal="left" vertical="top" wrapText="1"/>
    </xf>
    <xf numFmtId="0" fontId="72" fillId="4" borderId="18" xfId="0" applyFont="1" applyFill="1" applyBorder="1" applyAlignment="1">
      <alignment vertical="center"/>
    </xf>
    <xf numFmtId="0" fontId="72" fillId="4" borderId="13" xfId="0" applyFont="1" applyFill="1" applyBorder="1" applyAlignment="1">
      <alignment vertical="center"/>
    </xf>
    <xf numFmtId="0" fontId="72" fillId="4" borderId="0" xfId="0" applyFont="1" applyFill="1" applyBorder="1" applyAlignment="1">
      <alignment vertical="center"/>
    </xf>
    <xf numFmtId="0" fontId="58" fillId="27" borderId="83" xfId="20" applyFont="1" applyFill="1" applyBorder="1" applyAlignment="1">
      <alignment horizontal="center" vertical="center"/>
    </xf>
    <xf numFmtId="0" fontId="58" fillId="4" borderId="83" xfId="20" applyFont="1" applyFill="1" applyBorder="1" applyAlignment="1">
      <alignment horizontal="center" vertical="center"/>
    </xf>
    <xf numFmtId="0" fontId="58" fillId="28" borderId="83" xfId="20" applyFont="1" applyFill="1" applyBorder="1" applyAlignment="1">
      <alignment horizontal="center" vertical="center"/>
    </xf>
    <xf numFmtId="0" fontId="112" fillId="28" borderId="83" xfId="20" applyFont="1" applyFill="1" applyBorder="1" applyAlignment="1">
      <alignment horizontal="center" vertical="center"/>
    </xf>
    <xf numFmtId="0" fontId="14" fillId="4" borderId="18" xfId="0" applyFont="1" applyFill="1" applyBorder="1" applyAlignment="1" applyProtection="1">
      <alignment vertical="center"/>
    </xf>
    <xf numFmtId="0" fontId="14" fillId="4" borderId="19" xfId="0" applyFont="1" applyFill="1" applyBorder="1" applyAlignment="1" applyProtection="1">
      <alignment vertical="center"/>
    </xf>
    <xf numFmtId="10" fontId="34" fillId="6" borderId="24" xfId="9" applyFont="1" applyFill="1" applyBorder="1" applyAlignment="1">
      <alignment vertical="center"/>
    </xf>
    <xf numFmtId="167" fontId="15" fillId="6" borderId="20" xfId="0" applyNumberFormat="1" applyFont="1" applyFill="1" applyBorder="1" applyAlignment="1">
      <alignment vertical="center"/>
    </xf>
    <xf numFmtId="10" fontId="116" fillId="8" borderId="24" xfId="0" applyNumberFormat="1" applyFont="1" applyFill="1" applyBorder="1" applyAlignment="1">
      <alignment vertical="center"/>
    </xf>
    <xf numFmtId="167" fontId="87" fillId="8" borderId="20" xfId="0" applyNumberFormat="1" applyFont="1" applyFill="1" applyBorder="1" applyAlignment="1">
      <alignment vertical="center"/>
    </xf>
    <xf numFmtId="10" fontId="27" fillId="0" borderId="23" xfId="9" applyFont="1" applyBorder="1" applyAlignment="1">
      <alignment vertical="center"/>
    </xf>
    <xf numFmtId="0" fontId="23" fillId="0" borderId="23" xfId="0" applyFont="1" applyBorder="1"/>
    <xf numFmtId="10" fontId="34" fillId="0" borderId="13" xfId="9" applyFont="1" applyBorder="1" applyAlignment="1">
      <alignment vertical="center"/>
    </xf>
    <xf numFmtId="0" fontId="23" fillId="0" borderId="48" xfId="0" applyFont="1" applyBorder="1"/>
    <xf numFmtId="4" fontId="27" fillId="0" borderId="33" xfId="0" applyNumberFormat="1" applyFont="1" applyBorder="1" applyAlignment="1">
      <alignment vertical="center"/>
    </xf>
    <xf numFmtId="10" fontId="27" fillId="0" borderId="35" xfId="9" applyNumberFormat="1" applyFont="1" applyBorder="1" applyAlignment="1">
      <alignment vertical="center"/>
    </xf>
    <xf numFmtId="4" fontId="23" fillId="5" borderId="27" xfId="0" applyNumberFormat="1" applyFont="1" applyFill="1" applyBorder="1" applyAlignment="1">
      <alignment horizontal="center" vertical="center"/>
    </xf>
    <xf numFmtId="10" fontId="55" fillId="0" borderId="13" xfId="9" applyNumberFormat="1" applyFont="1" applyBorder="1" applyAlignment="1">
      <alignment vertical="center"/>
    </xf>
    <xf numFmtId="174" fontId="23" fillId="0" borderId="30" xfId="0" applyNumberFormat="1" applyFont="1" applyBorder="1" applyAlignment="1">
      <alignment vertical="center"/>
    </xf>
    <xf numFmtId="174" fontId="23" fillId="0" borderId="30" xfId="9" applyNumberFormat="1" applyFont="1" applyBorder="1" applyAlignment="1">
      <alignment vertical="center"/>
    </xf>
    <xf numFmtId="165" fontId="23" fillId="0" borderId="30" xfId="9" applyNumberFormat="1" applyFont="1" applyBorder="1" applyAlignment="1">
      <alignment vertical="center"/>
    </xf>
    <xf numFmtId="4" fontId="27" fillId="2" borderId="34" xfId="0" applyNumberFormat="1" applyFont="1" applyFill="1" applyBorder="1" applyAlignment="1" applyProtection="1">
      <alignment horizontal="center" vertical="center"/>
      <protection locked="0"/>
    </xf>
    <xf numFmtId="4" fontId="23" fillId="5" borderId="28" xfId="0" applyNumberFormat="1" applyFont="1" applyFill="1" applyBorder="1" applyAlignment="1">
      <alignment horizontal="center" vertical="center"/>
    </xf>
    <xf numFmtId="10" fontId="27" fillId="0" borderId="22" xfId="9" applyNumberFormat="1" applyFont="1" applyBorder="1" applyAlignment="1">
      <alignment vertical="center"/>
    </xf>
    <xf numFmtId="0" fontId="23" fillId="0" borderId="24" xfId="0" applyFont="1" applyBorder="1"/>
    <xf numFmtId="167" fontId="34" fillId="0" borderId="17" xfId="0" applyNumberFormat="1" applyFont="1" applyBorder="1" applyAlignment="1">
      <alignment horizontal="center" vertical="center"/>
    </xf>
    <xf numFmtId="167" fontId="27" fillId="0" borderId="23" xfId="0" applyNumberFormat="1" applyFont="1" applyBorder="1" applyAlignment="1">
      <alignment vertical="center"/>
    </xf>
    <xf numFmtId="167" fontId="27" fillId="0" borderId="22" xfId="0" applyNumberFormat="1" applyFont="1" applyBorder="1" applyAlignment="1">
      <alignment vertical="center"/>
    </xf>
    <xf numFmtId="10" fontId="23" fillId="0" borderId="24" xfId="9" applyFont="1" applyBorder="1" applyAlignment="1">
      <alignment vertical="center"/>
    </xf>
    <xf numFmtId="10" fontId="23" fillId="0" borderId="24" xfId="0" applyNumberFormat="1" applyFont="1" applyFill="1" applyBorder="1"/>
    <xf numFmtId="0" fontId="23" fillId="0" borderId="19" xfId="0" applyFont="1" applyFill="1" applyBorder="1"/>
    <xf numFmtId="10" fontId="27" fillId="0" borderId="17" xfId="0" applyNumberFormat="1" applyFont="1" applyBorder="1" applyAlignment="1">
      <alignment vertical="center"/>
    </xf>
    <xf numFmtId="0" fontId="23" fillId="0" borderId="14" xfId="0" applyFont="1" applyBorder="1"/>
    <xf numFmtId="10" fontId="23" fillId="0" borderId="11" xfId="0" applyNumberFormat="1" applyFont="1" applyBorder="1" applyAlignment="1">
      <alignment vertical="center"/>
    </xf>
    <xf numFmtId="167" fontId="23" fillId="0" borderId="12" xfId="0" applyNumberFormat="1" applyFont="1" applyBorder="1" applyAlignment="1">
      <alignment vertical="center"/>
    </xf>
    <xf numFmtId="0" fontId="92" fillId="0" borderId="17" xfId="0" applyFont="1" applyBorder="1" applyAlignment="1" applyProtection="1">
      <alignment vertical="center"/>
    </xf>
    <xf numFmtId="0" fontId="23" fillId="0" borderId="20" xfId="0" applyFont="1" applyFill="1" applyBorder="1" applyAlignment="1" applyProtection="1">
      <alignment vertical="center"/>
    </xf>
    <xf numFmtId="196" fontId="23" fillId="0" borderId="29" xfId="0" applyNumberFormat="1" applyFont="1" applyFill="1" applyBorder="1" applyAlignment="1" applyProtection="1">
      <alignment vertical="center"/>
    </xf>
    <xf numFmtId="187" fontId="27" fillId="0" borderId="22" xfId="0" applyNumberFormat="1" applyFont="1" applyBorder="1" applyAlignment="1" applyProtection="1">
      <alignment vertical="center"/>
    </xf>
    <xf numFmtId="0" fontId="23" fillId="0" borderId="33" xfId="0" applyFont="1" applyFill="1" applyBorder="1" applyAlignment="1" applyProtection="1">
      <alignment vertical="center"/>
    </xf>
    <xf numFmtId="0" fontId="23" fillId="0" borderId="8" xfId="0" applyFont="1" applyFill="1" applyBorder="1" applyAlignment="1" applyProtection="1">
      <alignment vertical="center"/>
    </xf>
    <xf numFmtId="0" fontId="23" fillId="0" borderId="34" xfId="0" applyFont="1" applyFill="1" applyBorder="1" applyAlignment="1" applyProtection="1">
      <alignment vertical="center"/>
    </xf>
    <xf numFmtId="10" fontId="23" fillId="0" borderId="34" xfId="0" applyNumberFormat="1" applyFont="1" applyBorder="1" applyAlignment="1" applyProtection="1">
      <alignment vertical="center"/>
    </xf>
    <xf numFmtId="10" fontId="23" fillId="0" borderId="26" xfId="9" applyFont="1" applyBorder="1" applyAlignment="1">
      <alignment vertical="center"/>
    </xf>
    <xf numFmtId="0" fontId="16" fillId="4" borderId="21" xfId="0" applyFont="1" applyFill="1" applyBorder="1" applyAlignment="1">
      <alignment horizontal="right" vertical="center"/>
    </xf>
    <xf numFmtId="167" fontId="49" fillId="4" borderId="23" xfId="0" applyNumberFormat="1" applyFont="1" applyFill="1" applyBorder="1" applyAlignment="1">
      <alignment vertical="center"/>
    </xf>
    <xf numFmtId="10" fontId="16" fillId="4" borderId="21" xfId="9" applyFont="1" applyFill="1" applyBorder="1" applyAlignment="1">
      <alignment horizontal="right" vertical="center"/>
    </xf>
    <xf numFmtId="167" fontId="49" fillId="4" borderId="17" xfId="0" applyNumberFormat="1" applyFont="1" applyFill="1" applyBorder="1" applyAlignment="1">
      <alignment vertical="center"/>
    </xf>
    <xf numFmtId="0" fontId="16" fillId="4" borderId="18" xfId="0" applyFont="1" applyFill="1" applyBorder="1" applyAlignment="1">
      <alignment horizontal="right" vertical="center"/>
    </xf>
    <xf numFmtId="167" fontId="49" fillId="4" borderId="22" xfId="0" applyNumberFormat="1" applyFont="1" applyFill="1" applyBorder="1" applyAlignment="1">
      <alignment vertical="center"/>
    </xf>
    <xf numFmtId="10" fontId="16" fillId="4" borderId="18" xfId="9" applyFont="1" applyFill="1" applyBorder="1" applyAlignment="1">
      <alignment horizontal="right" vertical="center"/>
    </xf>
    <xf numFmtId="167" fontId="49" fillId="4" borderId="19" xfId="0" applyNumberFormat="1" applyFont="1" applyFill="1" applyBorder="1" applyAlignment="1">
      <alignment vertical="center"/>
    </xf>
    <xf numFmtId="0" fontId="16" fillId="4" borderId="20" xfId="0" applyFont="1" applyFill="1" applyBorder="1" applyAlignment="1">
      <alignment horizontal="right" vertical="center"/>
    </xf>
    <xf numFmtId="167" fontId="49" fillId="4" borderId="24" xfId="0" applyNumberFormat="1" applyFont="1" applyFill="1" applyBorder="1" applyAlignment="1">
      <alignment vertical="center"/>
    </xf>
    <xf numFmtId="10" fontId="16" fillId="4" borderId="20" xfId="9" applyFont="1" applyFill="1" applyBorder="1" applyAlignment="1">
      <alignment horizontal="right" vertical="center"/>
    </xf>
    <xf numFmtId="167" fontId="49" fillId="4" borderId="11" xfId="0" applyNumberFormat="1" applyFont="1" applyFill="1" applyBorder="1" applyAlignment="1">
      <alignment vertical="center"/>
    </xf>
    <xf numFmtId="0" fontId="27" fillId="0" borderId="20" xfId="0" applyFont="1" applyBorder="1"/>
    <xf numFmtId="0" fontId="40" fillId="0" borderId="11" xfId="0" applyFont="1" applyBorder="1"/>
    <xf numFmtId="0" fontId="23" fillId="0" borderId="21" xfId="0" quotePrefix="1" applyFont="1" applyBorder="1"/>
    <xf numFmtId="167" fontId="23" fillId="0" borderId="26" xfId="0" applyNumberFormat="1" applyFont="1" applyBorder="1"/>
    <xf numFmtId="0" fontId="27" fillId="0" borderId="13" xfId="0" applyFont="1" applyBorder="1"/>
    <xf numFmtId="167" fontId="23" fillId="0" borderId="0" xfId="0" applyNumberFormat="1" applyFont="1" applyBorder="1" applyAlignment="1">
      <alignment vertical="center"/>
    </xf>
    <xf numFmtId="167" fontId="23" fillId="0" borderId="50" xfId="0" applyNumberFormat="1" applyFont="1" applyBorder="1" applyAlignment="1">
      <alignment vertical="center"/>
    </xf>
    <xf numFmtId="167" fontId="23" fillId="0" borderId="82" xfId="0" applyNumberFormat="1" applyFont="1" applyBorder="1" applyAlignment="1">
      <alignment vertical="center"/>
    </xf>
    <xf numFmtId="10" fontId="34" fillId="0" borderId="9" xfId="9" applyFont="1" applyBorder="1" applyAlignment="1">
      <alignment horizontal="center" vertical="center"/>
    </xf>
    <xf numFmtId="10" fontId="34" fillId="0" borderId="40" xfId="9" applyFont="1" applyBorder="1" applyAlignment="1">
      <alignment vertical="center"/>
    </xf>
    <xf numFmtId="10" fontId="34" fillId="0" borderId="9" xfId="9" applyFont="1" applyBorder="1" applyAlignment="1">
      <alignment vertical="center"/>
    </xf>
    <xf numFmtId="10" fontId="34" fillId="0" borderId="4" xfId="9" applyFont="1" applyBorder="1" applyAlignment="1">
      <alignment vertical="center"/>
    </xf>
    <xf numFmtId="167" fontId="27" fillId="4" borderId="5" xfId="0" applyNumberFormat="1" applyFont="1" applyFill="1" applyBorder="1" applyAlignment="1">
      <alignment vertical="center"/>
    </xf>
    <xf numFmtId="167" fontId="27" fillId="4" borderId="48" xfId="0" applyNumberFormat="1" applyFont="1" applyFill="1" applyBorder="1" applyAlignment="1">
      <alignment vertical="center"/>
    </xf>
    <xf numFmtId="167" fontId="27" fillId="4" borderId="27" xfId="0" applyNumberFormat="1" applyFont="1" applyFill="1" applyBorder="1" applyAlignment="1">
      <alignment vertical="center"/>
    </xf>
    <xf numFmtId="167" fontId="27" fillId="4" borderId="3" xfId="0" applyNumberFormat="1" applyFont="1" applyFill="1" applyBorder="1" applyAlignment="1">
      <alignment vertical="center"/>
    </xf>
    <xf numFmtId="167" fontId="27" fillId="15" borderId="5" xfId="0" applyNumberFormat="1" applyFont="1" applyFill="1" applyBorder="1" applyAlignment="1">
      <alignment vertical="center"/>
    </xf>
    <xf numFmtId="167" fontId="27" fillId="15" borderId="48" xfId="0" applyNumberFormat="1" applyFont="1" applyFill="1" applyBorder="1" applyAlignment="1">
      <alignment vertical="center"/>
    </xf>
    <xf numFmtId="167" fontId="27" fillId="15" borderId="27" xfId="0" applyNumberFormat="1" applyFont="1" applyFill="1" applyBorder="1" applyAlignment="1">
      <alignment vertical="center"/>
    </xf>
    <xf numFmtId="167" fontId="27" fillId="15" borderId="3" xfId="0" applyNumberFormat="1" applyFont="1" applyFill="1" applyBorder="1" applyAlignment="1">
      <alignment vertical="center"/>
    </xf>
    <xf numFmtId="167" fontId="135" fillId="19" borderId="5" xfId="0" applyNumberFormat="1" applyFont="1" applyFill="1" applyBorder="1" applyAlignment="1">
      <alignment vertical="center"/>
    </xf>
    <xf numFmtId="167" fontId="135" fillId="19" borderId="48" xfId="0" applyNumberFormat="1" applyFont="1" applyFill="1" applyBorder="1" applyAlignment="1">
      <alignment vertical="center"/>
    </xf>
    <xf numFmtId="167" fontId="135" fillId="19" borderId="27" xfId="0" applyNumberFormat="1" applyFont="1" applyFill="1" applyBorder="1" applyAlignment="1">
      <alignment vertical="center"/>
    </xf>
    <xf numFmtId="167" fontId="135" fillId="19" borderId="3" xfId="0" applyNumberFormat="1" applyFont="1" applyFill="1" applyBorder="1" applyAlignment="1">
      <alignment vertical="center"/>
    </xf>
    <xf numFmtId="167" fontId="135" fillId="20" borderId="5" xfId="0" applyNumberFormat="1" applyFont="1" applyFill="1" applyBorder="1" applyAlignment="1">
      <alignment vertical="center"/>
    </xf>
    <xf numFmtId="167" fontId="135" fillId="20" borderId="48" xfId="0" applyNumberFormat="1" applyFont="1" applyFill="1" applyBorder="1" applyAlignment="1">
      <alignment vertical="center"/>
    </xf>
    <xf numFmtId="167" fontId="135" fillId="20" borderId="27" xfId="0" applyNumberFormat="1" applyFont="1" applyFill="1" applyBorder="1" applyAlignment="1">
      <alignment vertical="center"/>
    </xf>
    <xf numFmtId="167" fontId="135" fillId="20" borderId="3" xfId="0" applyNumberFormat="1" applyFont="1" applyFill="1" applyBorder="1" applyAlignment="1">
      <alignment vertical="center"/>
    </xf>
    <xf numFmtId="167" fontId="135" fillId="23" borderId="5" xfId="0" applyNumberFormat="1" applyFont="1" applyFill="1" applyBorder="1" applyAlignment="1">
      <alignment vertical="center"/>
    </xf>
    <xf numFmtId="167" fontId="135" fillId="23" borderId="48" xfId="0" applyNumberFormat="1" applyFont="1" applyFill="1" applyBorder="1" applyAlignment="1">
      <alignment vertical="center"/>
    </xf>
    <xf numFmtId="167" fontId="135" fillId="23" borderId="27" xfId="0" applyNumberFormat="1" applyFont="1" applyFill="1" applyBorder="1" applyAlignment="1">
      <alignment vertical="center"/>
    </xf>
    <xf numFmtId="167" fontId="135" fillId="23" borderId="3" xfId="0" applyNumberFormat="1" applyFont="1" applyFill="1" applyBorder="1" applyAlignment="1">
      <alignment vertical="center"/>
    </xf>
    <xf numFmtId="0" fontId="87" fillId="19" borderId="18" xfId="0" applyFont="1" applyFill="1" applyBorder="1" applyAlignment="1">
      <alignment vertical="center"/>
    </xf>
    <xf numFmtId="0" fontId="87" fillId="19" borderId="19" xfId="0" applyFont="1" applyFill="1" applyBorder="1" applyAlignment="1">
      <alignment vertical="center"/>
    </xf>
    <xf numFmtId="0" fontId="119" fillId="19" borderId="18" xfId="0" applyFont="1" applyFill="1" applyBorder="1" applyAlignment="1">
      <alignment vertical="center" wrapText="1"/>
    </xf>
    <xf numFmtId="10" fontId="116" fillId="19" borderId="22" xfId="0" applyNumberFormat="1" applyFont="1" applyFill="1" applyBorder="1" applyAlignment="1">
      <alignment vertical="center"/>
    </xf>
    <xf numFmtId="167" fontId="87" fillId="19" borderId="18" xfId="0" applyNumberFormat="1" applyFont="1" applyFill="1" applyBorder="1" applyAlignment="1">
      <alignment vertical="center"/>
    </xf>
    <xf numFmtId="167" fontId="135" fillId="8" borderId="5" xfId="0" applyNumberFormat="1" applyFont="1" applyFill="1" applyBorder="1" applyAlignment="1">
      <alignment vertical="center"/>
    </xf>
    <xf numFmtId="167" fontId="135" fillId="8" borderId="48" xfId="0" applyNumberFormat="1" applyFont="1" applyFill="1" applyBorder="1" applyAlignment="1">
      <alignment vertical="center"/>
    </xf>
    <xf numFmtId="167" fontId="135" fillId="8" borderId="27" xfId="0" applyNumberFormat="1" applyFont="1" applyFill="1" applyBorder="1" applyAlignment="1">
      <alignment vertical="center"/>
    </xf>
    <xf numFmtId="167" fontId="135" fillId="8" borderId="3" xfId="0" applyNumberFormat="1" applyFont="1" applyFill="1" applyBorder="1" applyAlignment="1">
      <alignment vertical="center"/>
    </xf>
    <xf numFmtId="0" fontId="135" fillId="19" borderId="5" xfId="0" applyFont="1" applyFill="1" applyBorder="1" applyAlignment="1">
      <alignment horizontal="left" vertical="center"/>
    </xf>
    <xf numFmtId="0" fontId="68" fillId="20" borderId="5" xfId="0" applyFont="1" applyFill="1" applyBorder="1" applyAlignment="1">
      <alignment horizontal="left" vertical="center"/>
    </xf>
    <xf numFmtId="0" fontId="68" fillId="23" borderId="5" xfId="0" applyFont="1" applyFill="1" applyBorder="1" applyAlignment="1">
      <alignment horizontal="left" vertical="center"/>
    </xf>
    <xf numFmtId="0" fontId="23" fillId="0" borderId="20" xfId="0" applyFont="1" applyBorder="1" applyAlignment="1">
      <alignment vertical="center"/>
    </xf>
    <xf numFmtId="10" fontId="23" fillId="2" borderId="28" xfId="0" applyNumberFormat="1" applyFont="1" applyFill="1" applyBorder="1" applyAlignment="1" applyProtection="1">
      <alignment vertical="center"/>
      <protection locked="0"/>
    </xf>
    <xf numFmtId="167" fontId="23" fillId="0" borderId="28" xfId="0" applyNumberFormat="1" applyFont="1" applyBorder="1"/>
    <xf numFmtId="167" fontId="23" fillId="0" borderId="14" xfId="0" applyNumberFormat="1" applyFont="1" applyBorder="1"/>
    <xf numFmtId="167" fontId="23" fillId="0" borderId="23" xfId="0" applyNumberFormat="1" applyFont="1" applyBorder="1" applyAlignment="1">
      <alignment horizontal="center" vertical="center"/>
    </xf>
    <xf numFmtId="167" fontId="23" fillId="0" borderId="30" xfId="0" applyNumberFormat="1" applyFont="1" applyBorder="1"/>
    <xf numFmtId="0" fontId="43" fillId="0" borderId="0" xfId="0" applyFont="1" applyBorder="1"/>
    <xf numFmtId="0" fontId="23" fillId="4" borderId="14" xfId="0" applyFont="1" applyFill="1" applyBorder="1"/>
    <xf numFmtId="0" fontId="23" fillId="4" borderId="23" xfId="0" applyFont="1" applyFill="1" applyBorder="1"/>
    <xf numFmtId="0" fontId="29" fillId="4" borderId="29" xfId="0" applyFont="1" applyFill="1" applyBorder="1" applyAlignment="1">
      <alignment vertical="center"/>
    </xf>
    <xf numFmtId="0" fontId="29" fillId="4" borderId="27" xfId="0" applyFont="1" applyFill="1" applyBorder="1" applyAlignment="1">
      <alignment horizontal="center" vertical="center"/>
    </xf>
    <xf numFmtId="0" fontId="23" fillId="4" borderId="27" xfId="0" applyFont="1" applyFill="1" applyBorder="1"/>
    <xf numFmtId="0" fontId="43" fillId="4" borderId="27" xfId="0" applyFont="1" applyFill="1" applyBorder="1"/>
    <xf numFmtId="0" fontId="69" fillId="4" borderId="27" xfId="0" applyFont="1" applyFill="1" applyBorder="1" applyAlignment="1">
      <alignment horizontal="center" vertical="center"/>
    </xf>
    <xf numFmtId="0" fontId="69" fillId="4" borderId="14" xfId="0" applyFont="1" applyFill="1" applyBorder="1" applyAlignment="1">
      <alignment horizontal="center" vertical="center"/>
    </xf>
    <xf numFmtId="0" fontId="44" fillId="4" borderId="27" xfId="0" applyFont="1" applyFill="1" applyBorder="1"/>
    <xf numFmtId="0" fontId="23" fillId="4" borderId="27" xfId="0" applyFont="1" applyFill="1" applyBorder="1" applyProtection="1"/>
    <xf numFmtId="0" fontId="23" fillId="4" borderId="28" xfId="0" applyFont="1" applyFill="1" applyBorder="1" applyProtection="1"/>
    <xf numFmtId="0" fontId="29" fillId="6" borderId="26" xfId="0" applyFont="1" applyFill="1" applyBorder="1" applyAlignment="1">
      <alignment vertical="center"/>
    </xf>
    <xf numFmtId="0" fontId="23" fillId="6" borderId="27" xfId="0" applyFont="1" applyFill="1" applyBorder="1"/>
    <xf numFmtId="0" fontId="69" fillId="6" borderId="27" xfId="0" applyFont="1" applyFill="1" applyBorder="1" applyAlignment="1">
      <alignment horizontal="center" vertical="center"/>
    </xf>
    <xf numFmtId="0" fontId="23" fillId="6" borderId="27" xfId="0" applyFont="1" applyFill="1" applyBorder="1" applyProtection="1">
      <protection locked="0"/>
    </xf>
    <xf numFmtId="0" fontId="23" fillId="6" borderId="14" xfId="0" applyFont="1" applyFill="1" applyBorder="1"/>
    <xf numFmtId="0" fontId="23" fillId="6" borderId="27" xfId="0" applyFont="1" applyFill="1" applyBorder="1" applyAlignment="1">
      <alignment wrapText="1"/>
    </xf>
    <xf numFmtId="0" fontId="42" fillId="6" borderId="14" xfId="0" applyFont="1" applyFill="1" applyBorder="1"/>
    <xf numFmtId="0" fontId="69" fillId="6" borderId="14" xfId="0" applyFont="1" applyFill="1" applyBorder="1" applyAlignment="1">
      <alignment horizontal="center" vertical="center"/>
    </xf>
    <xf numFmtId="0" fontId="42" fillId="6" borderId="27" xfId="0" applyFont="1" applyFill="1" applyBorder="1"/>
    <xf numFmtId="0" fontId="29" fillId="8" borderId="27" xfId="0" applyFont="1" applyFill="1" applyBorder="1" applyAlignment="1"/>
    <xf numFmtId="0" fontId="23" fillId="8" borderId="27" xfId="0" applyFont="1" applyFill="1" applyBorder="1"/>
    <xf numFmtId="0" fontId="69" fillId="8" borderId="27" xfId="0" applyFont="1" applyFill="1" applyBorder="1" applyAlignment="1">
      <alignment horizontal="center" vertical="center"/>
    </xf>
    <xf numFmtId="0" fontId="42" fillId="8" borderId="27" xfId="0" applyFont="1" applyFill="1" applyBorder="1"/>
    <xf numFmtId="0" fontId="23" fillId="8" borderId="27" xfId="0" applyFont="1" applyFill="1" applyBorder="1" applyProtection="1">
      <protection locked="0"/>
    </xf>
    <xf numFmtId="0" fontId="23" fillId="8" borderId="14" xfId="0" applyFont="1" applyFill="1" applyBorder="1"/>
    <xf numFmtId="0" fontId="23" fillId="8" borderId="27" xfId="0" applyFont="1" applyFill="1" applyBorder="1" applyAlignment="1">
      <alignment wrapText="1"/>
    </xf>
    <xf numFmtId="0" fontId="23" fillId="0" borderId="14" xfId="0" applyFont="1" applyBorder="1" applyProtection="1"/>
    <xf numFmtId="0" fontId="29" fillId="19" borderId="29" xfId="0" applyFont="1" applyFill="1" applyBorder="1" applyAlignment="1"/>
    <xf numFmtId="0" fontId="23" fillId="19" borderId="27" xfId="0" applyFont="1" applyFill="1" applyBorder="1"/>
    <xf numFmtId="0" fontId="69" fillId="19" borderId="27" xfId="0" applyFont="1" applyFill="1" applyBorder="1" applyAlignment="1">
      <alignment horizontal="center" vertical="center"/>
    </xf>
    <xf numFmtId="0" fontId="42" fillId="19" borderId="27" xfId="0" applyFont="1" applyFill="1" applyBorder="1"/>
    <xf numFmtId="0" fontId="23" fillId="19" borderId="27" xfId="0" applyFont="1" applyFill="1" applyBorder="1" applyProtection="1">
      <protection locked="0"/>
    </xf>
    <xf numFmtId="0" fontId="23" fillId="19" borderId="14" xfId="0" applyFont="1" applyFill="1" applyBorder="1"/>
    <xf numFmtId="0" fontId="23" fillId="19" borderId="27" xfId="0" applyFont="1" applyFill="1" applyBorder="1" applyAlignment="1">
      <alignment wrapText="1"/>
    </xf>
    <xf numFmtId="0" fontId="23" fillId="19" borderId="28" xfId="0" applyFont="1" applyFill="1" applyBorder="1"/>
    <xf numFmtId="0" fontId="29" fillId="20" borderId="29" xfId="0" applyFont="1" applyFill="1" applyBorder="1" applyAlignment="1"/>
    <xf numFmtId="0" fontId="23" fillId="20" borderId="27" xfId="0" applyFont="1" applyFill="1" applyBorder="1"/>
    <xf numFmtId="0" fontId="69" fillId="20" borderId="27" xfId="0" applyFont="1" applyFill="1" applyBorder="1" applyAlignment="1">
      <alignment horizontal="center" vertical="center"/>
    </xf>
    <xf numFmtId="0" fontId="42" fillId="20" borderId="27" xfId="0" applyFont="1" applyFill="1" applyBorder="1"/>
    <xf numFmtId="0" fontId="23" fillId="20" borderId="27" xfId="0" applyFont="1" applyFill="1" applyBorder="1" applyProtection="1">
      <protection locked="0"/>
    </xf>
    <xf numFmtId="0" fontId="23" fillId="20" borderId="14" xfId="0" applyFont="1" applyFill="1" applyBorder="1"/>
    <xf numFmtId="0" fontId="23" fillId="20" borderId="27" xfId="0" applyFont="1" applyFill="1" applyBorder="1" applyAlignment="1">
      <alignment wrapText="1"/>
    </xf>
    <xf numFmtId="0" fontId="23" fillId="20" borderId="28" xfId="0" applyFont="1" applyFill="1" applyBorder="1"/>
    <xf numFmtId="0" fontId="29" fillId="23" borderId="29" xfId="0" applyFont="1" applyFill="1" applyBorder="1" applyAlignment="1"/>
    <xf numFmtId="0" fontId="23" fillId="23" borderId="27" xfId="0" applyFont="1" applyFill="1" applyBorder="1"/>
    <xf numFmtId="0" fontId="23" fillId="23" borderId="14" xfId="0" applyFont="1" applyFill="1" applyBorder="1"/>
    <xf numFmtId="0" fontId="69" fillId="23" borderId="27" xfId="0" applyFont="1" applyFill="1" applyBorder="1" applyAlignment="1">
      <alignment horizontal="center" vertical="center"/>
    </xf>
    <xf numFmtId="0" fontId="42" fillId="23" borderId="27" xfId="0" applyFont="1" applyFill="1" applyBorder="1"/>
    <xf numFmtId="0" fontId="23" fillId="23" borderId="27" xfId="0" applyFont="1" applyFill="1" applyBorder="1" applyProtection="1">
      <protection locked="0"/>
    </xf>
    <xf numFmtId="0" fontId="23" fillId="23" borderId="27" xfId="0" applyFont="1" applyFill="1" applyBorder="1" applyAlignment="1">
      <alignment wrapText="1"/>
    </xf>
    <xf numFmtId="0" fontId="72" fillId="4" borderId="14" xfId="0" applyFont="1" applyFill="1" applyBorder="1" applyAlignment="1">
      <alignment vertical="center"/>
    </xf>
    <xf numFmtId="0" fontId="23" fillId="0" borderId="13" xfId="0" applyFont="1" applyBorder="1" applyProtection="1">
      <protection locked="0"/>
    </xf>
    <xf numFmtId="0" fontId="135" fillId="19" borderId="16" xfId="0" applyFont="1" applyFill="1" applyBorder="1" applyAlignment="1">
      <alignment horizontal="left" vertical="center"/>
    </xf>
    <xf numFmtId="0" fontId="68" fillId="20" borderId="16" xfId="0" applyFont="1" applyFill="1" applyBorder="1" applyAlignment="1">
      <alignment horizontal="left" vertical="center"/>
    </xf>
    <xf numFmtId="0" fontId="68" fillId="23" borderId="16" xfId="0" applyFont="1" applyFill="1" applyBorder="1" applyAlignment="1">
      <alignment horizontal="left" vertical="center"/>
    </xf>
    <xf numFmtId="0" fontId="23" fillId="4" borderId="21" xfId="0" applyFont="1" applyFill="1" applyBorder="1"/>
    <xf numFmtId="0" fontId="114" fillId="0" borderId="0" xfId="0" applyFont="1" applyBorder="1"/>
    <xf numFmtId="187" fontId="47" fillId="2" borderId="27" xfId="23" applyNumberFormat="1" applyFont="1" applyFill="1" applyBorder="1" applyAlignment="1" applyProtection="1">
      <alignment horizontal="center" vertical="center"/>
      <protection locked="0"/>
    </xf>
    <xf numFmtId="187" fontId="47" fillId="2" borderId="30" xfId="23" applyNumberFormat="1" applyFont="1" applyFill="1" applyBorder="1" applyAlignment="1" applyProtection="1">
      <alignment horizontal="center" vertical="center"/>
      <protection locked="0"/>
    </xf>
    <xf numFmtId="10" fontId="23" fillId="2" borderId="26" xfId="23" applyFont="1" applyFill="1" applyBorder="1" applyAlignment="1" applyProtection="1">
      <alignment vertical="center"/>
      <protection locked="0"/>
    </xf>
    <xf numFmtId="10" fontId="23" fillId="2" borderId="40" xfId="23" applyFont="1" applyFill="1" applyBorder="1" applyAlignment="1" applyProtection="1">
      <alignment vertical="center"/>
      <protection locked="0"/>
    </xf>
    <xf numFmtId="10" fontId="23" fillId="2" borderId="25" xfId="23" applyFont="1" applyFill="1" applyBorder="1" applyAlignment="1" applyProtection="1">
      <alignment vertical="center"/>
      <protection locked="0"/>
    </xf>
    <xf numFmtId="9" fontId="23" fillId="2" borderId="28" xfId="23" applyNumberFormat="1" applyFont="1" applyFill="1" applyBorder="1" applyAlignment="1" applyProtection="1">
      <alignment vertical="center"/>
      <protection locked="0"/>
    </xf>
    <xf numFmtId="9" fontId="23" fillId="2" borderId="26" xfId="23" applyNumberFormat="1" applyFont="1" applyFill="1" applyBorder="1" applyAlignment="1" applyProtection="1">
      <alignment vertical="center"/>
      <protection locked="0"/>
    </xf>
    <xf numFmtId="9" fontId="23" fillId="2" borderId="29" xfId="23" applyNumberFormat="1" applyFont="1" applyFill="1" applyBorder="1" applyAlignment="1" applyProtection="1">
      <alignment vertical="center"/>
      <protection locked="0"/>
    </xf>
    <xf numFmtId="9" fontId="23" fillId="2" borderId="30" xfId="23" applyNumberFormat="1" applyFont="1" applyFill="1" applyBorder="1" applyAlignment="1" applyProtection="1">
      <alignment vertical="center"/>
      <protection locked="0"/>
    </xf>
    <xf numFmtId="10" fontId="23" fillId="2" borderId="30" xfId="23" applyNumberFormat="1" applyFont="1" applyFill="1" applyBorder="1" applyAlignment="1" applyProtection="1">
      <alignment vertical="center"/>
      <protection locked="0"/>
    </xf>
    <xf numFmtId="167" fontId="23" fillId="2" borderId="40" xfId="23" applyNumberFormat="1" applyFont="1" applyFill="1" applyBorder="1" applyAlignment="1" applyProtection="1">
      <alignment vertical="center"/>
      <protection locked="0"/>
    </xf>
    <xf numFmtId="10" fontId="23" fillId="2" borderId="23" xfId="0" applyNumberFormat="1" applyFont="1" applyFill="1" applyBorder="1" applyProtection="1">
      <protection locked="0"/>
    </xf>
    <xf numFmtId="10" fontId="23" fillId="2" borderId="9" xfId="0" applyNumberFormat="1" applyFont="1" applyFill="1" applyBorder="1" applyProtection="1">
      <protection locked="0"/>
    </xf>
    <xf numFmtId="10" fontId="23" fillId="3" borderId="0" xfId="0" applyNumberFormat="1" applyFont="1" applyFill="1" applyBorder="1" applyProtection="1">
      <protection locked="0"/>
    </xf>
    <xf numFmtId="0" fontId="20" fillId="2" borderId="18" xfId="0" applyFont="1" applyFill="1" applyBorder="1" applyAlignment="1" applyProtection="1">
      <alignment horizontal="left"/>
      <protection locked="0"/>
    </xf>
    <xf numFmtId="0" fontId="76" fillId="0" borderId="13" xfId="0" applyFont="1" applyFill="1" applyBorder="1" applyAlignment="1" applyProtection="1">
      <alignment horizontal="center"/>
    </xf>
    <xf numFmtId="0" fontId="76" fillId="0" borderId="0" xfId="0" applyFont="1" applyFill="1" applyBorder="1" applyAlignment="1" applyProtection="1">
      <alignment horizontal="center"/>
    </xf>
    <xf numFmtId="0" fontId="66" fillId="0" borderId="11" xfId="0" applyFont="1" applyBorder="1" applyAlignment="1" applyProtection="1">
      <alignment horizontal="center" vertical="center" wrapText="1"/>
    </xf>
    <xf numFmtId="0" fontId="66" fillId="0" borderId="24" xfId="0" applyFont="1" applyBorder="1" applyAlignment="1" applyProtection="1">
      <alignment horizontal="center" vertical="center" wrapText="1"/>
    </xf>
    <xf numFmtId="0" fontId="66" fillId="0" borderId="17" xfId="0" applyFont="1" applyBorder="1" applyAlignment="1" applyProtection="1">
      <alignment horizontal="center" vertical="center" wrapText="1"/>
    </xf>
    <xf numFmtId="0" fontId="66" fillId="0" borderId="23" xfId="0" applyFont="1" applyBorder="1" applyAlignment="1" applyProtection="1">
      <alignment horizontal="center" vertical="center" wrapText="1"/>
    </xf>
    <xf numFmtId="0" fontId="125" fillId="0" borderId="0" xfId="0" applyFont="1" applyBorder="1" applyAlignment="1" applyProtection="1">
      <alignment horizontal="center"/>
    </xf>
    <xf numFmtId="0" fontId="125" fillId="0" borderId="47" xfId="0" applyFont="1" applyBorder="1" applyAlignment="1" applyProtection="1">
      <alignment vertical="center"/>
    </xf>
    <xf numFmtId="1" fontId="57" fillId="0" borderId="19" xfId="20" applyNumberFormat="1" applyBorder="1" applyAlignment="1" applyProtection="1">
      <alignment horizontal="center"/>
    </xf>
    <xf numFmtId="0" fontId="76" fillId="0" borderId="0" xfId="0" applyFont="1" applyFill="1" applyBorder="1" applyAlignment="1" applyProtection="1">
      <alignment horizontal="left"/>
    </xf>
    <xf numFmtId="49" fontId="25" fillId="0" borderId="19" xfId="0" applyNumberFormat="1" applyFont="1" applyBorder="1" applyAlignment="1" applyProtection="1">
      <alignment horizontal="left"/>
    </xf>
    <xf numFmtId="0" fontId="20" fillId="0" borderId="20" xfId="0" applyFont="1" applyBorder="1" applyAlignment="1" applyProtection="1">
      <alignment horizontal="left"/>
    </xf>
    <xf numFmtId="0" fontId="20" fillId="0" borderId="11" xfId="0" applyFont="1" applyBorder="1" applyAlignment="1" applyProtection="1">
      <alignment horizontal="left"/>
    </xf>
    <xf numFmtId="0" fontId="20" fillId="0" borderId="24" xfId="0" applyFont="1" applyBorder="1" applyAlignment="1" applyProtection="1">
      <alignment horizontal="left"/>
    </xf>
    <xf numFmtId="0" fontId="57" fillId="0" borderId="19" xfId="20" applyFill="1" applyBorder="1" applyAlignment="1">
      <alignment vertical="center"/>
    </xf>
    <xf numFmtId="0" fontId="6" fillId="0" borderId="19" xfId="0" applyFont="1" applyFill="1" applyBorder="1" applyAlignment="1">
      <alignment vertical="center"/>
    </xf>
    <xf numFmtId="0" fontId="6" fillId="0" borderId="22" xfId="0" applyFont="1" applyFill="1" applyBorder="1" applyAlignment="1">
      <alignment vertical="center"/>
    </xf>
    <xf numFmtId="186" fontId="25" fillId="0" borderId="0" xfId="0" applyNumberFormat="1" applyFont="1" applyBorder="1" applyAlignment="1" applyProtection="1">
      <alignment horizontal="left" vertical="center"/>
    </xf>
    <xf numFmtId="0" fontId="83" fillId="14" borderId="0" xfId="0" applyFont="1" applyFill="1" applyBorder="1" applyAlignment="1" applyProtection="1">
      <alignment horizontal="center" vertical="center" wrapText="1"/>
    </xf>
    <xf numFmtId="0" fontId="83" fillId="14" borderId="3" xfId="0" applyFont="1" applyFill="1" applyBorder="1" applyAlignment="1" applyProtection="1">
      <alignment horizontal="center" vertical="center" wrapText="1"/>
    </xf>
    <xf numFmtId="0" fontId="83" fillId="14" borderId="17" xfId="0" applyFont="1" applyFill="1" applyBorder="1" applyAlignment="1" applyProtection="1">
      <alignment horizontal="center" vertical="center" wrapText="1"/>
    </xf>
    <xf numFmtId="0" fontId="83" fillId="14" borderId="68" xfId="0" applyFont="1" applyFill="1" applyBorder="1" applyAlignment="1" applyProtection="1">
      <alignment horizontal="center" vertical="center" wrapText="1"/>
    </xf>
    <xf numFmtId="0" fontId="126" fillId="0" borderId="0" xfId="0" applyFont="1" applyAlignment="1" applyProtection="1">
      <alignment horizontal="center" vertical="top" wrapText="1"/>
    </xf>
    <xf numFmtId="0" fontId="25" fillId="0" borderId="0" xfId="0" applyNumberFormat="1" applyFont="1" applyBorder="1" applyAlignment="1" applyProtection="1">
      <alignment horizontal="left" vertical="center"/>
    </xf>
    <xf numFmtId="0" fontId="25" fillId="0" borderId="44" xfId="0" applyFont="1" applyBorder="1" applyAlignment="1" applyProtection="1">
      <alignment horizontal="center" vertical="top" wrapText="1"/>
    </xf>
    <xf numFmtId="0" fontId="25" fillId="0" borderId="5" xfId="0" applyFont="1" applyBorder="1" applyAlignment="1" applyProtection="1">
      <alignment horizontal="center" vertical="top" wrapText="1"/>
    </xf>
    <xf numFmtId="0" fontId="25" fillId="0" borderId="6" xfId="0" applyFont="1" applyBorder="1" applyAlignment="1" applyProtection="1">
      <alignment horizontal="center" vertical="top" wrapText="1"/>
    </xf>
    <xf numFmtId="0" fontId="25" fillId="0" borderId="47" xfId="0" applyFont="1" applyBorder="1" applyAlignment="1" applyProtection="1">
      <alignment horizontal="center" vertical="top" wrapText="1"/>
    </xf>
    <xf numFmtId="0" fontId="25" fillId="0" borderId="0" xfId="0" applyFont="1" applyBorder="1" applyAlignment="1" applyProtection="1">
      <alignment horizontal="center" vertical="top" wrapText="1"/>
    </xf>
    <xf numFmtId="0" fontId="25" fillId="0" borderId="3" xfId="0" applyFont="1" applyBorder="1" applyAlignment="1" applyProtection="1">
      <alignment horizontal="center" vertical="top" wrapText="1"/>
    </xf>
    <xf numFmtId="0" fontId="5" fillId="0" borderId="18"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20" fillId="2" borderId="18" xfId="0" applyFont="1" applyFill="1" applyBorder="1" applyAlignment="1" applyProtection="1">
      <alignment horizontal="left"/>
      <protection locked="0"/>
    </xf>
    <xf numFmtId="0" fontId="20" fillId="2" borderId="19" xfId="0" applyFont="1" applyFill="1" applyBorder="1" applyAlignment="1" applyProtection="1">
      <alignment horizontal="left"/>
      <protection locked="0"/>
    </xf>
    <xf numFmtId="0" fontId="20" fillId="2" borderId="75" xfId="0" applyFont="1" applyFill="1" applyBorder="1" applyAlignment="1" applyProtection="1">
      <alignment horizontal="left"/>
      <protection locked="0"/>
    </xf>
    <xf numFmtId="0" fontId="20" fillId="2" borderId="0" xfId="0" applyFont="1" applyFill="1" applyBorder="1" applyAlignment="1" applyProtection="1">
      <alignment horizontal="left"/>
      <protection locked="0"/>
    </xf>
    <xf numFmtId="0" fontId="61" fillId="0" borderId="77" xfId="0" applyFont="1" applyBorder="1" applyAlignment="1" applyProtection="1">
      <alignment horizontal="left"/>
      <protection locked="0"/>
    </xf>
    <xf numFmtId="0" fontId="61" fillId="0" borderId="78" xfId="0" applyFont="1" applyBorder="1" applyAlignment="1" applyProtection="1">
      <alignment horizontal="left"/>
      <protection locked="0"/>
    </xf>
    <xf numFmtId="0" fontId="57" fillId="0" borderId="19" xfId="20" applyBorder="1" applyAlignment="1" applyProtection="1">
      <alignment horizontal="center" vertical="center" wrapText="1"/>
    </xf>
    <xf numFmtId="0" fontId="57" fillId="0" borderId="22" xfId="20" applyBorder="1" applyAlignment="1" applyProtection="1">
      <alignment horizontal="center" vertical="center" wrapText="1"/>
    </xf>
    <xf numFmtId="0" fontId="20" fillId="0" borderId="18" xfId="0" applyFont="1" applyBorder="1" applyAlignment="1" applyProtection="1">
      <alignment horizontal="left" vertical="center"/>
    </xf>
    <xf numFmtId="0" fontId="20" fillId="0" borderId="19" xfId="0" applyFont="1" applyBorder="1" applyAlignment="1" applyProtection="1">
      <alignment horizontal="left" vertical="center"/>
    </xf>
    <xf numFmtId="0" fontId="20" fillId="0" borderId="22" xfId="0" applyFont="1" applyBorder="1" applyAlignment="1" applyProtection="1">
      <alignment horizontal="left" vertical="center"/>
    </xf>
    <xf numFmtId="0" fontId="20" fillId="2" borderId="18" xfId="0" applyNumberFormat="1" applyFont="1" applyFill="1" applyBorder="1" applyAlignment="1" applyProtection="1">
      <alignment horizontal="left" vertical="center"/>
      <protection locked="0"/>
    </xf>
    <xf numFmtId="0" fontId="20" fillId="2" borderId="19" xfId="0" applyNumberFormat="1" applyFont="1" applyFill="1" applyBorder="1" applyAlignment="1" applyProtection="1">
      <alignment horizontal="left" vertical="center"/>
      <protection locked="0"/>
    </xf>
    <xf numFmtId="0" fontId="20" fillId="2" borderId="22" xfId="0" applyNumberFormat="1" applyFont="1" applyFill="1" applyBorder="1" applyAlignment="1" applyProtection="1">
      <alignment horizontal="left" vertical="center"/>
      <protection locked="0"/>
    </xf>
    <xf numFmtId="0" fontId="66" fillId="0" borderId="18" xfId="0" applyFont="1" applyBorder="1" applyAlignment="1" applyProtection="1">
      <alignment horizontal="center"/>
    </xf>
    <xf numFmtId="0" fontId="66" fillId="0" borderId="19" xfId="0" applyFont="1" applyBorder="1" applyAlignment="1" applyProtection="1">
      <alignment horizontal="center"/>
    </xf>
    <xf numFmtId="0" fontId="66" fillId="0" borderId="22" xfId="0" applyFont="1" applyBorder="1" applyAlignment="1" applyProtection="1">
      <alignment horizontal="center"/>
    </xf>
    <xf numFmtId="14" fontId="25" fillId="0" borderId="11" xfId="0" applyNumberFormat="1" applyFont="1" applyBorder="1" applyAlignment="1" applyProtection="1">
      <alignment horizontal="center"/>
    </xf>
    <xf numFmtId="186" fontId="20" fillId="0" borderId="17" xfId="0" applyNumberFormat="1" applyFont="1" applyBorder="1" applyAlignment="1" applyProtection="1">
      <alignment horizontal="center"/>
    </xf>
    <xf numFmtId="0" fontId="25" fillId="0" borderId="1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5" fillId="0" borderId="17" xfId="0" applyNumberFormat="1" applyFont="1" applyBorder="1" applyAlignment="1" applyProtection="1">
      <alignment horizontal="left" vertical="center"/>
    </xf>
    <xf numFmtId="0" fontId="20" fillId="0" borderId="19" xfId="0" applyFont="1" applyBorder="1" applyAlignment="1" applyProtection="1">
      <alignment horizontal="right"/>
    </xf>
    <xf numFmtId="0" fontId="20" fillId="0" borderId="22" xfId="0" applyFont="1" applyBorder="1" applyAlignment="1" applyProtection="1">
      <alignment horizontal="right"/>
    </xf>
    <xf numFmtId="0" fontId="20" fillId="0" borderId="20"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24" xfId="0" applyFont="1" applyBorder="1" applyAlignment="1" applyProtection="1">
      <alignment horizontal="left" vertical="top" wrapText="1"/>
    </xf>
    <xf numFmtId="0" fontId="20" fillId="0" borderId="13"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4" xfId="0" applyFont="1" applyBorder="1" applyAlignment="1" applyProtection="1">
      <alignment horizontal="left" vertical="top" wrapText="1"/>
    </xf>
    <xf numFmtId="0" fontId="20" fillId="0" borderId="21" xfId="0" applyFont="1" applyBorder="1" applyAlignment="1" applyProtection="1">
      <alignment horizontal="left" vertical="top" wrapText="1"/>
    </xf>
    <xf numFmtId="0" fontId="20" fillId="0" borderId="17" xfId="0" applyFont="1" applyBorder="1" applyAlignment="1" applyProtection="1">
      <alignment horizontal="left" vertical="top" wrapText="1"/>
    </xf>
    <xf numFmtId="0" fontId="20" fillId="0" borderId="23" xfId="0" applyFont="1" applyBorder="1" applyAlignment="1" applyProtection="1">
      <alignment horizontal="left" vertical="top" wrapText="1"/>
    </xf>
    <xf numFmtId="186" fontId="80" fillId="0" borderId="19" xfId="0" applyNumberFormat="1" applyFont="1" applyBorder="1" applyAlignment="1" applyProtection="1">
      <alignment horizontal="left"/>
    </xf>
    <xf numFmtId="186" fontId="80" fillId="0" borderId="22" xfId="0" applyNumberFormat="1" applyFont="1" applyBorder="1" applyAlignment="1" applyProtection="1">
      <alignment horizontal="left"/>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22" xfId="0" applyFont="1" applyBorder="1" applyAlignment="1" applyProtection="1">
      <alignment horizontal="center" vertical="center"/>
    </xf>
    <xf numFmtId="0" fontId="20" fillId="0" borderId="20" xfId="0" applyFont="1" applyBorder="1" applyAlignment="1" applyProtection="1">
      <alignment horizontal="left" wrapText="1"/>
    </xf>
    <xf numFmtId="0" fontId="20" fillId="0" borderId="11" xfId="0" applyFont="1" applyBorder="1" applyAlignment="1" applyProtection="1">
      <alignment horizontal="left" wrapText="1"/>
    </xf>
    <xf numFmtId="0" fontId="20" fillId="0" borderId="24" xfId="0" applyFont="1" applyBorder="1" applyAlignment="1" applyProtection="1">
      <alignment horizontal="left" wrapText="1"/>
    </xf>
    <xf numFmtId="0" fontId="20" fillId="0" borderId="13" xfId="0" applyFont="1" applyBorder="1" applyAlignment="1" applyProtection="1">
      <alignment horizontal="left" wrapText="1"/>
    </xf>
    <xf numFmtId="0" fontId="20" fillId="0" borderId="0" xfId="0" applyFont="1" applyBorder="1" applyAlignment="1" applyProtection="1">
      <alignment horizontal="left" wrapText="1"/>
    </xf>
    <xf numFmtId="0" fontId="20" fillId="0" borderId="14" xfId="0" applyFont="1" applyBorder="1" applyAlignment="1" applyProtection="1">
      <alignment horizontal="left" wrapText="1"/>
    </xf>
    <xf numFmtId="0" fontId="20" fillId="0" borderId="21" xfId="0" applyFont="1" applyBorder="1" applyAlignment="1" applyProtection="1">
      <alignment horizontal="left" wrapText="1"/>
    </xf>
    <xf numFmtId="0" fontId="20" fillId="0" borderId="17" xfId="0" applyFont="1" applyBorder="1" applyAlignment="1" applyProtection="1">
      <alignment horizontal="left" wrapText="1"/>
    </xf>
    <xf numFmtId="0" fontId="20" fillId="0" borderId="23" xfId="0" applyFont="1" applyBorder="1" applyAlignment="1" applyProtection="1">
      <alignment horizontal="left" wrapText="1"/>
    </xf>
    <xf numFmtId="0" fontId="25" fillId="0" borderId="20" xfId="0" applyFont="1" applyBorder="1" applyAlignment="1" applyProtection="1">
      <alignment horizontal="left" vertical="top" wrapText="1"/>
    </xf>
    <xf numFmtId="0" fontId="69" fillId="0" borderId="73" xfId="0" applyFont="1" applyBorder="1" applyAlignment="1" applyProtection="1">
      <alignment horizontal="center"/>
    </xf>
    <xf numFmtId="0" fontId="69" fillId="0" borderId="71" xfId="0" applyFont="1" applyBorder="1" applyAlignment="1" applyProtection="1">
      <alignment horizontal="center"/>
    </xf>
    <xf numFmtId="0" fontId="69" fillId="0" borderId="72" xfId="0" applyFont="1" applyBorder="1" applyAlignment="1" applyProtection="1">
      <alignment horizontal="center"/>
    </xf>
    <xf numFmtId="0" fontId="76" fillId="0" borderId="56" xfId="10" applyFont="1" applyFill="1" applyBorder="1" applyAlignment="1" applyProtection="1">
      <alignment horizontal="left"/>
      <protection hidden="1"/>
    </xf>
    <xf numFmtId="0" fontId="76" fillId="0" borderId="38" xfId="10" applyFont="1" applyFill="1" applyBorder="1" applyAlignment="1" applyProtection="1">
      <alignment horizontal="left"/>
      <protection hidden="1"/>
    </xf>
    <xf numFmtId="0" fontId="76" fillId="0" borderId="39" xfId="10" applyFont="1" applyFill="1" applyBorder="1" applyAlignment="1" applyProtection="1">
      <alignment horizontal="left"/>
      <protection hidden="1"/>
    </xf>
    <xf numFmtId="0" fontId="76" fillId="0" borderId="74" xfId="10" applyFont="1" applyFill="1" applyBorder="1" applyAlignment="1" applyProtection="1">
      <alignment horizontal="left"/>
      <protection hidden="1"/>
    </xf>
    <xf numFmtId="0" fontId="76" fillId="0" borderId="19" xfId="10" applyFont="1" applyFill="1" applyBorder="1" applyAlignment="1" applyProtection="1">
      <alignment horizontal="left"/>
      <protection hidden="1"/>
    </xf>
    <xf numFmtId="0" fontId="76" fillId="0" borderId="22" xfId="10" applyFont="1" applyFill="1" applyBorder="1" applyAlignment="1" applyProtection="1">
      <alignment horizontal="left"/>
      <protection hidden="1"/>
    </xf>
    <xf numFmtId="182" fontId="76" fillId="0" borderId="0" xfId="0" applyNumberFormat="1" applyFont="1" applyFill="1" applyBorder="1" applyAlignment="1">
      <alignment horizontal="left"/>
    </xf>
    <xf numFmtId="0" fontId="66" fillId="0" borderId="13" xfId="0" applyFont="1" applyBorder="1" applyAlignment="1">
      <alignment horizontal="center" vertical="top" wrapText="1"/>
    </xf>
    <xf numFmtId="0" fontId="76" fillId="0" borderId="0" xfId="0" applyFont="1" applyFill="1" applyBorder="1" applyAlignment="1">
      <alignment horizontal="left" vertical="center"/>
    </xf>
    <xf numFmtId="0" fontId="20" fillId="0" borderId="0" xfId="0" applyFont="1" applyBorder="1" applyAlignment="1" applyProtection="1">
      <alignment horizontal="center"/>
      <protection locked="0"/>
    </xf>
    <xf numFmtId="0" fontId="20" fillId="0" borderId="17" xfId="0" applyFont="1" applyBorder="1" applyAlignment="1" applyProtection="1">
      <alignment horizontal="center"/>
      <protection locked="0"/>
    </xf>
    <xf numFmtId="0" fontId="66" fillId="0" borderId="20"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21" xfId="0" applyFont="1" applyBorder="1" applyAlignment="1">
      <alignment horizontal="center" vertical="center" wrapText="1"/>
    </xf>
    <xf numFmtId="0" fontId="66" fillId="0" borderId="23" xfId="0" applyFont="1" applyBorder="1" applyAlignment="1">
      <alignment horizontal="center" vertical="center" wrapText="1"/>
    </xf>
    <xf numFmtId="0" fontId="65" fillId="0" borderId="11" xfId="0" applyFont="1" applyBorder="1" applyAlignment="1">
      <alignment horizontal="center" vertical="top" wrapText="1"/>
    </xf>
    <xf numFmtId="0" fontId="65" fillId="0" borderId="0" xfId="0" applyFont="1" applyBorder="1" applyAlignment="1">
      <alignment horizontal="center" vertical="top" wrapText="1"/>
    </xf>
    <xf numFmtId="0" fontId="29" fillId="15" borderId="18" xfId="0" applyFont="1" applyFill="1" applyBorder="1" applyAlignment="1">
      <alignment horizontal="center" vertical="center"/>
    </xf>
    <xf numFmtId="0" fontId="29" fillId="15" borderId="19" xfId="0" applyFont="1" applyFill="1" applyBorder="1" applyAlignment="1">
      <alignment horizontal="center" vertical="center"/>
    </xf>
    <xf numFmtId="0" fontId="29" fillId="15" borderId="22" xfId="0" applyFont="1" applyFill="1" applyBorder="1" applyAlignment="1">
      <alignment horizontal="center" vertical="center"/>
    </xf>
    <xf numFmtId="0" fontId="25" fillId="0" borderId="20" xfId="0" applyNumberFormat="1" applyFont="1" applyBorder="1" applyAlignment="1">
      <alignment horizontal="center" vertical="top" wrapText="1"/>
    </xf>
    <xf numFmtId="0" fontId="25" fillId="0" borderId="24" xfId="0" applyNumberFormat="1" applyFont="1" applyBorder="1" applyAlignment="1">
      <alignment horizontal="center" vertical="top" wrapText="1"/>
    </xf>
    <xf numFmtId="0" fontId="25" fillId="0" borderId="13" xfId="0" applyNumberFormat="1" applyFont="1" applyBorder="1" applyAlignment="1">
      <alignment horizontal="center" vertical="top" wrapText="1"/>
    </xf>
    <xf numFmtId="0" fontId="25" fillId="0" borderId="14" xfId="0" applyNumberFormat="1" applyFont="1" applyBorder="1" applyAlignment="1">
      <alignment horizontal="center" vertical="top" wrapText="1"/>
    </xf>
    <xf numFmtId="0" fontId="25" fillId="0" borderId="21" xfId="0" applyNumberFormat="1" applyFont="1" applyBorder="1" applyAlignment="1">
      <alignment horizontal="center" vertical="top" wrapText="1"/>
    </xf>
    <xf numFmtId="0" fontId="25" fillId="0" borderId="23" xfId="0" applyNumberFormat="1" applyFont="1" applyBorder="1" applyAlignment="1">
      <alignment horizontal="center" vertical="top" wrapText="1"/>
    </xf>
    <xf numFmtId="0" fontId="29" fillId="15" borderId="18" xfId="0" applyFont="1" applyFill="1" applyBorder="1" applyAlignment="1" applyProtection="1">
      <alignment horizontal="center" vertical="center"/>
    </xf>
    <xf numFmtId="0" fontId="29" fillId="15" borderId="19" xfId="0" applyFont="1" applyFill="1" applyBorder="1" applyAlignment="1" applyProtection="1">
      <alignment horizontal="center" vertical="center"/>
    </xf>
    <xf numFmtId="0" fontId="29" fillId="15" borderId="22" xfId="0" applyFont="1" applyFill="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22" xfId="0" applyFont="1" applyBorder="1" applyAlignment="1" applyProtection="1">
      <alignment horizontal="center" vertical="center"/>
    </xf>
    <xf numFmtId="0" fontId="66" fillId="0" borderId="29" xfId="0" applyFont="1" applyBorder="1" applyAlignment="1">
      <alignment horizontal="center" vertical="top" wrapText="1"/>
    </xf>
    <xf numFmtId="0" fontId="66" fillId="0" borderId="27" xfId="0" applyFont="1" applyBorder="1" applyAlignment="1">
      <alignment horizontal="center" vertical="top" wrapText="1"/>
    </xf>
    <xf numFmtId="0" fontId="66" fillId="0" borderId="28" xfId="0" applyFont="1" applyBorder="1" applyAlignment="1">
      <alignment horizontal="center" vertical="top" wrapText="1"/>
    </xf>
    <xf numFmtId="0" fontId="76" fillId="0" borderId="18" xfId="0" applyFont="1" applyFill="1" applyBorder="1" applyAlignment="1">
      <alignment horizontal="center"/>
    </xf>
    <xf numFmtId="0" fontId="76" fillId="0" borderId="19" xfId="0" applyFont="1" applyFill="1" applyBorder="1" applyAlignment="1">
      <alignment horizontal="center"/>
    </xf>
    <xf numFmtId="0" fontId="76" fillId="0" borderId="22" xfId="0" applyFont="1" applyFill="1" applyBorder="1" applyAlignment="1">
      <alignment horizontal="center"/>
    </xf>
    <xf numFmtId="167" fontId="25" fillId="0" borderId="18" xfId="0" applyNumberFormat="1" applyFont="1" applyFill="1" applyBorder="1" applyAlignment="1" applyProtection="1">
      <alignment horizontal="left" vertical="center"/>
    </xf>
    <xf numFmtId="167" fontId="25" fillId="0" borderId="19" xfId="0" applyNumberFormat="1" applyFont="1" applyFill="1" applyBorder="1" applyAlignment="1" applyProtection="1">
      <alignment horizontal="left" vertical="center"/>
    </xf>
    <xf numFmtId="167" fontId="25" fillId="0" borderId="22" xfId="0" applyNumberFormat="1" applyFont="1" applyFill="1" applyBorder="1" applyAlignment="1" applyProtection="1">
      <alignment horizontal="left" vertical="center"/>
    </xf>
    <xf numFmtId="0" fontId="25" fillId="0" borderId="29" xfId="0" applyFont="1" applyBorder="1" applyAlignment="1">
      <alignment vertical="center"/>
    </xf>
    <xf numFmtId="0" fontId="25" fillId="0" borderId="28" xfId="0" applyFont="1" applyBorder="1" applyAlignment="1">
      <alignment vertical="center"/>
    </xf>
    <xf numFmtId="0" fontId="25" fillId="15" borderId="18" xfId="0" applyFont="1" applyFill="1" applyBorder="1" applyAlignment="1">
      <alignment horizontal="left"/>
    </xf>
    <xf numFmtId="0" fontId="25" fillId="15" borderId="19" xfId="0" applyFont="1" applyFill="1" applyBorder="1" applyAlignment="1">
      <alignment horizontal="left"/>
    </xf>
    <xf numFmtId="0" fontId="25" fillId="15" borderId="22" xfId="0" applyFont="1" applyFill="1" applyBorder="1" applyAlignment="1">
      <alignment horizontal="left"/>
    </xf>
    <xf numFmtId="0" fontId="20" fillId="0" borderId="21" xfId="0" applyFont="1" applyBorder="1" applyAlignment="1" applyProtection="1">
      <alignment horizontal="center"/>
      <protection locked="0"/>
    </xf>
    <xf numFmtId="0" fontId="23" fillId="0" borderId="31" xfId="19" applyFont="1" applyBorder="1" applyAlignment="1">
      <alignment horizontal="left" vertical="center"/>
    </xf>
    <xf numFmtId="0" fontId="23" fillId="0" borderId="32" xfId="19" applyFont="1" applyBorder="1" applyAlignment="1">
      <alignment horizontal="left" vertical="center"/>
    </xf>
    <xf numFmtId="0" fontId="23" fillId="0" borderId="21" xfId="0" applyFont="1" applyBorder="1" applyAlignment="1">
      <alignment horizontal="left" vertical="center"/>
    </xf>
    <xf numFmtId="0" fontId="23" fillId="0" borderId="23" xfId="0" applyFont="1" applyBorder="1" applyAlignment="1">
      <alignment horizontal="left" vertical="center"/>
    </xf>
    <xf numFmtId="10" fontId="23" fillId="0" borderId="29" xfId="0" applyNumberFormat="1" applyFont="1" applyBorder="1" applyAlignment="1">
      <alignment horizontal="center" vertical="center" wrapText="1"/>
    </xf>
    <xf numFmtId="10" fontId="23" fillId="0" borderId="27" xfId="0" applyNumberFormat="1" applyFont="1" applyBorder="1" applyAlignment="1">
      <alignment horizontal="center" vertical="center" wrapText="1"/>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18" xfId="19" applyFont="1" applyBorder="1" applyAlignment="1">
      <alignment horizontal="left" vertical="center"/>
    </xf>
    <xf numFmtId="0" fontId="23" fillId="0" borderId="22" xfId="19" applyFont="1" applyBorder="1" applyAlignment="1">
      <alignment horizontal="left" vertical="center"/>
    </xf>
    <xf numFmtId="0" fontId="23" fillId="0" borderId="21" xfId="19" applyFont="1" applyBorder="1" applyAlignment="1">
      <alignment horizontal="left" vertical="center"/>
    </xf>
    <xf numFmtId="0" fontId="23" fillId="0" borderId="23" xfId="19" applyFont="1" applyBorder="1" applyAlignment="1">
      <alignment horizontal="left" vertical="center"/>
    </xf>
    <xf numFmtId="0" fontId="54" fillId="6" borderId="29" xfId="0" applyFont="1" applyFill="1" applyBorder="1" applyAlignment="1">
      <alignment horizontal="center" vertical="top" wrapText="1"/>
    </xf>
    <xf numFmtId="0" fontId="54" fillId="6" borderId="28" xfId="0" applyFont="1" applyFill="1" applyBorder="1" applyAlignment="1">
      <alignment horizontal="center" vertical="top" wrapText="1"/>
    </xf>
    <xf numFmtId="182" fontId="20" fillId="15" borderId="18" xfId="0" applyNumberFormat="1" applyFont="1" applyFill="1" applyBorder="1" applyAlignment="1" applyProtection="1">
      <alignment horizontal="center" vertical="center"/>
    </xf>
    <xf numFmtId="182" fontId="20" fillId="15" borderId="19" xfId="0" applyNumberFormat="1" applyFont="1" applyFill="1" applyBorder="1" applyAlignment="1" applyProtection="1">
      <alignment horizontal="center" vertical="center"/>
    </xf>
    <xf numFmtId="182" fontId="20" fillId="15" borderId="22" xfId="0" applyNumberFormat="1" applyFont="1" applyFill="1" applyBorder="1" applyAlignment="1" applyProtection="1">
      <alignment horizontal="center" vertical="center"/>
    </xf>
    <xf numFmtId="0" fontId="25" fillId="0" borderId="29" xfId="0" applyFont="1" applyFill="1" applyBorder="1" applyAlignment="1" applyProtection="1">
      <alignment horizontal="center" vertical="center" wrapText="1"/>
    </xf>
    <xf numFmtId="0" fontId="25" fillId="0" borderId="28" xfId="0" applyFont="1" applyFill="1" applyBorder="1" applyAlignment="1" applyProtection="1">
      <alignment horizontal="center" vertical="center" wrapText="1"/>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22" xfId="0" applyFont="1" applyBorder="1" applyAlignment="1">
      <alignment horizontal="left" vertical="center"/>
    </xf>
    <xf numFmtId="0" fontId="20" fillId="0" borderId="29" xfId="0" applyFont="1" applyFill="1" applyBorder="1" applyAlignment="1" applyProtection="1">
      <alignment horizontal="center" vertical="center" wrapText="1"/>
    </xf>
    <xf numFmtId="0" fontId="20" fillId="0" borderId="28" xfId="0" applyFont="1" applyFill="1" applyBorder="1" applyAlignment="1" applyProtection="1">
      <alignment horizontal="center" vertical="center" wrapText="1"/>
    </xf>
    <xf numFmtId="0" fontId="25" fillId="0" borderId="18" xfId="0" applyFont="1" applyBorder="1" applyAlignment="1">
      <alignment horizontal="center"/>
    </xf>
    <xf numFmtId="0" fontId="25" fillId="0" borderId="19" xfId="0" applyFont="1" applyBorder="1" applyAlignment="1">
      <alignment horizontal="center"/>
    </xf>
    <xf numFmtId="0" fontId="25" fillId="0" borderId="22" xfId="0" applyFont="1" applyBorder="1" applyAlignment="1">
      <alignment horizontal="center"/>
    </xf>
    <xf numFmtId="0" fontId="20" fillId="0" borderId="2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23" fillId="0" borderId="20"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3" fillId="0" borderId="21" xfId="0" applyFont="1" applyBorder="1" applyAlignment="1" applyProtection="1">
      <alignment horizontal="center"/>
      <protection locked="0"/>
    </xf>
    <xf numFmtId="0" fontId="23" fillId="0" borderId="17" xfId="0" applyFont="1" applyBorder="1" applyAlignment="1" applyProtection="1">
      <alignment horizontal="center"/>
      <protection locked="0"/>
    </xf>
    <xf numFmtId="0" fontId="25" fillId="0" borderId="20" xfId="0" applyFont="1" applyBorder="1" applyAlignment="1">
      <alignment horizontal="left" vertical="top" wrapText="1"/>
    </xf>
    <xf numFmtId="0" fontId="25" fillId="0" borderId="13" xfId="0" applyFont="1" applyBorder="1" applyAlignment="1">
      <alignment horizontal="left" vertical="top" wrapText="1"/>
    </xf>
    <xf numFmtId="0" fontId="25" fillId="0" borderId="21" xfId="0" applyFont="1" applyBorder="1" applyAlignment="1">
      <alignment horizontal="left" vertical="top" wrapText="1"/>
    </xf>
    <xf numFmtId="0" fontId="27" fillId="0" borderId="19" xfId="0" applyFont="1" applyBorder="1" applyAlignment="1" applyProtection="1">
      <alignment horizontal="center"/>
      <protection locked="0"/>
    </xf>
    <xf numFmtId="0" fontId="25" fillId="0" borderId="18" xfId="0" applyFont="1" applyFill="1" applyBorder="1" applyAlignment="1">
      <alignment horizontal="center"/>
    </xf>
    <xf numFmtId="0" fontId="25" fillId="0" borderId="19" xfId="0" applyFont="1" applyFill="1" applyBorder="1" applyAlignment="1">
      <alignment horizontal="center"/>
    </xf>
    <xf numFmtId="0" fontId="25" fillId="0" borderId="22" xfId="0" applyFont="1" applyFill="1" applyBorder="1" applyAlignment="1">
      <alignment horizontal="center"/>
    </xf>
    <xf numFmtId="0" fontId="25" fillId="0" borderId="29" xfId="0" applyFont="1" applyBorder="1" applyAlignment="1" applyProtection="1">
      <alignment vertical="center"/>
    </xf>
    <xf numFmtId="0" fontId="25" fillId="0" borderId="28" xfId="0" applyFont="1" applyBorder="1" applyAlignment="1" applyProtection="1">
      <alignment vertical="center"/>
    </xf>
    <xf numFmtId="0" fontId="25" fillId="0" borderId="18" xfId="0" applyFont="1" applyBorder="1" applyAlignment="1" applyProtection="1">
      <alignment horizontal="center"/>
    </xf>
    <xf numFmtId="0" fontId="25" fillId="0" borderId="19" xfId="0" applyFont="1" applyBorder="1" applyAlignment="1" applyProtection="1">
      <alignment horizontal="center"/>
    </xf>
    <xf numFmtId="0" fontId="25" fillId="0" borderId="22" xfId="0" applyFont="1" applyBorder="1" applyAlignment="1" applyProtection="1">
      <alignment horizontal="center"/>
    </xf>
    <xf numFmtId="167" fontId="25" fillId="15" borderId="18" xfId="0" applyNumberFormat="1" applyFont="1" applyFill="1" applyBorder="1" applyAlignment="1" applyProtection="1">
      <alignment horizontal="left"/>
    </xf>
    <xf numFmtId="167" fontId="25" fillId="15" borderId="19" xfId="0" applyNumberFormat="1" applyFont="1" applyFill="1" applyBorder="1" applyAlignment="1" applyProtection="1">
      <alignment horizontal="left"/>
    </xf>
    <xf numFmtId="167" fontId="25" fillId="15" borderId="22" xfId="0" applyNumberFormat="1" applyFont="1" applyFill="1" applyBorder="1" applyAlignment="1" applyProtection="1">
      <alignment horizontal="left"/>
    </xf>
    <xf numFmtId="0" fontId="29" fillId="15" borderId="18" xfId="0" applyFont="1" applyFill="1" applyBorder="1" applyAlignment="1">
      <alignment horizontal="center"/>
    </xf>
    <xf numFmtId="0" fontId="29" fillId="15" borderId="19" xfId="0" applyFont="1" applyFill="1" applyBorder="1" applyAlignment="1">
      <alignment horizontal="center"/>
    </xf>
    <xf numFmtId="0" fontId="29" fillId="15" borderId="22" xfId="0" applyFont="1" applyFill="1" applyBorder="1" applyAlignment="1">
      <alignment horizontal="center"/>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top" wrapText="1"/>
    </xf>
    <xf numFmtId="0" fontId="23" fillId="0" borderId="27" xfId="0" applyFont="1" applyBorder="1" applyAlignment="1">
      <alignment horizontal="center" vertical="top" wrapText="1"/>
    </xf>
    <xf numFmtId="0" fontId="23" fillId="0" borderId="11" xfId="0" applyFont="1" applyBorder="1" applyAlignment="1">
      <alignment horizontal="center" vertical="top" wrapText="1"/>
    </xf>
    <xf numFmtId="0" fontId="23" fillId="0" borderId="0" xfId="0" applyFont="1" applyBorder="1" applyAlignment="1">
      <alignment horizontal="center" vertical="top" wrapText="1"/>
    </xf>
    <xf numFmtId="0" fontId="23" fillId="0" borderId="24" xfId="0" applyFont="1" applyBorder="1" applyAlignment="1">
      <alignment horizontal="center" vertical="top" wrapText="1"/>
    </xf>
    <xf numFmtId="0" fontId="23" fillId="0" borderId="14" xfId="0" applyFont="1" applyBorder="1" applyAlignment="1">
      <alignment horizontal="center" vertical="top" wrapText="1"/>
    </xf>
    <xf numFmtId="0" fontId="23" fillId="0" borderId="13" xfId="0" applyFont="1" applyBorder="1" applyAlignment="1">
      <alignment horizontal="left" vertical="top" wrapText="1"/>
    </xf>
    <xf numFmtId="0" fontId="23" fillId="0" borderId="0" xfId="0" applyFont="1" applyBorder="1" applyAlignment="1">
      <alignment horizontal="left" vertical="top" wrapText="1"/>
    </xf>
    <xf numFmtId="0" fontId="58" fillId="23" borderId="7" xfId="20" applyFont="1" applyFill="1" applyBorder="1" applyAlignment="1">
      <alignment horizontal="center" vertical="center"/>
    </xf>
    <xf numFmtId="0" fontId="58" fillId="23" borderId="8" xfId="20" applyFont="1" applyFill="1" applyBorder="1" applyAlignment="1">
      <alignment horizontal="center" vertical="center"/>
    </xf>
    <xf numFmtId="0" fontId="58" fillId="23" borderId="35" xfId="20" applyFont="1" applyFill="1" applyBorder="1" applyAlignment="1">
      <alignment horizontal="center" vertical="center"/>
    </xf>
    <xf numFmtId="4" fontId="23" fillId="0" borderId="33" xfId="0" applyNumberFormat="1" applyFont="1" applyBorder="1" applyAlignment="1">
      <alignment horizontal="left" vertical="center"/>
    </xf>
    <xf numFmtId="4" fontId="23" fillId="0" borderId="8" xfId="0" applyNumberFormat="1" applyFont="1" applyBorder="1" applyAlignment="1">
      <alignment horizontal="left" vertical="center"/>
    </xf>
    <xf numFmtId="4" fontId="23" fillId="0" borderId="35" xfId="0" applyNumberFormat="1" applyFont="1" applyBorder="1" applyAlignment="1">
      <alignment horizontal="left" vertical="center"/>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23" fillId="2" borderId="18" xfId="0" applyFont="1" applyFill="1" applyBorder="1" applyAlignment="1" applyProtection="1">
      <alignment horizontal="left" vertical="center"/>
      <protection locked="0"/>
    </xf>
    <xf numFmtId="0" fontId="23" fillId="2" borderId="19" xfId="0" applyFont="1" applyFill="1" applyBorder="1" applyAlignment="1" applyProtection="1">
      <alignment horizontal="left" vertical="center"/>
      <protection locked="0"/>
    </xf>
    <xf numFmtId="0" fontId="23" fillId="2" borderId="22" xfId="0" applyFont="1" applyFill="1" applyBorder="1" applyAlignment="1" applyProtection="1">
      <alignment horizontal="left" vertical="center"/>
      <protection locked="0"/>
    </xf>
    <xf numFmtId="0" fontId="42" fillId="0" borderId="18" xfId="0" applyFont="1" applyBorder="1" applyAlignment="1">
      <alignment horizontal="center" vertical="center"/>
    </xf>
    <xf numFmtId="0" fontId="42" fillId="0" borderId="19" xfId="0" applyFont="1" applyBorder="1" applyAlignment="1">
      <alignment horizontal="center" vertic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2" borderId="31" xfId="0" applyFont="1" applyFill="1" applyBorder="1" applyAlignment="1" applyProtection="1">
      <alignment horizontal="left" vertical="center"/>
      <protection locked="0"/>
    </xf>
    <xf numFmtId="0" fontId="23" fillId="2" borderId="43" xfId="0" applyFont="1" applyFill="1" applyBorder="1" applyAlignment="1" applyProtection="1">
      <alignment horizontal="left" vertical="center"/>
      <protection locked="0"/>
    </xf>
    <xf numFmtId="0" fontId="23" fillId="2" borderId="32" xfId="0" applyFont="1" applyFill="1" applyBorder="1" applyAlignment="1" applyProtection="1">
      <alignment horizontal="left" vertical="center"/>
      <protection locked="0"/>
    </xf>
    <xf numFmtId="0" fontId="34" fillId="0" borderId="18" xfId="0" applyFont="1" applyBorder="1" applyAlignment="1">
      <alignment horizontal="left" vertical="center"/>
    </xf>
    <xf numFmtId="0" fontId="34" fillId="0" borderId="19" xfId="0" applyFont="1" applyBorder="1" applyAlignment="1">
      <alignment horizontal="left" vertical="center"/>
    </xf>
    <xf numFmtId="0" fontId="23" fillId="0" borderId="18" xfId="0" applyFont="1" applyBorder="1" applyAlignment="1" applyProtection="1">
      <alignment horizontal="left" vertical="center"/>
    </xf>
    <xf numFmtId="0" fontId="23" fillId="0" borderId="19" xfId="0" applyFont="1" applyBorder="1" applyAlignment="1" applyProtection="1">
      <alignment horizontal="left" vertical="center"/>
    </xf>
    <xf numFmtId="0" fontId="23" fillId="0" borderId="22" xfId="0" applyFont="1" applyBorder="1" applyAlignment="1" applyProtection="1">
      <alignment horizontal="left"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23" fillId="0" borderId="21"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0" borderId="23" xfId="0" applyFont="1" applyBorder="1" applyAlignment="1" applyProtection="1">
      <alignment horizontal="left" vertical="center"/>
    </xf>
    <xf numFmtId="0" fontId="23" fillId="0" borderId="20" xfId="0" applyFont="1" applyBorder="1" applyAlignment="1" applyProtection="1">
      <alignment horizontal="left" vertical="center"/>
    </xf>
    <xf numFmtId="0" fontId="23" fillId="0" borderId="11" xfId="0" applyFont="1" applyBorder="1" applyAlignment="1" applyProtection="1">
      <alignment horizontal="left" vertical="center"/>
    </xf>
    <xf numFmtId="0" fontId="23" fillId="0" borderId="24" xfId="0" applyFont="1" applyBorder="1" applyAlignment="1" applyProtection="1">
      <alignment horizontal="left" vertical="center"/>
    </xf>
    <xf numFmtId="0" fontId="23" fillId="0" borderId="29" xfId="0" applyFont="1" applyBorder="1" applyAlignment="1" applyProtection="1">
      <alignment horizontal="center" vertical="top" wrapText="1"/>
    </xf>
    <xf numFmtId="0" fontId="23" fillId="0" borderId="27" xfId="0" applyFont="1" applyBorder="1" applyAlignment="1" applyProtection="1">
      <alignment horizontal="center" vertical="top" wrapText="1"/>
    </xf>
    <xf numFmtId="0" fontId="23" fillId="0" borderId="28" xfId="0" applyFont="1" applyBorder="1" applyAlignment="1" applyProtection="1">
      <alignment horizontal="center" vertical="top" wrapText="1"/>
    </xf>
    <xf numFmtId="0" fontId="23" fillId="0" borderId="18" xfId="0" applyFont="1" applyBorder="1" applyAlignment="1" applyProtection="1">
      <alignment horizontal="center" vertical="top"/>
      <protection locked="0"/>
    </xf>
    <xf numFmtId="0" fontId="23" fillId="0" borderId="19" xfId="0" applyFont="1" applyBorder="1" applyAlignment="1" applyProtection="1">
      <alignment horizontal="center" vertical="top"/>
      <protection locked="0"/>
    </xf>
    <xf numFmtId="0" fontId="23" fillId="0" borderId="75" xfId="0" applyFont="1" applyBorder="1" applyAlignment="1" applyProtection="1">
      <alignment horizontal="center" vertical="top"/>
      <protection locked="0"/>
    </xf>
    <xf numFmtId="0" fontId="23" fillId="0" borderId="17" xfId="0" applyFont="1" applyBorder="1" applyAlignment="1">
      <alignment horizontal="left" vertical="center"/>
    </xf>
    <xf numFmtId="0" fontId="14" fillId="0" borderId="1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4" xfId="0" applyFont="1" applyFill="1" applyBorder="1" applyAlignment="1">
      <alignment horizontal="center" vertical="center"/>
    </xf>
    <xf numFmtId="0" fontId="27" fillId="25" borderId="29" xfId="0" applyFont="1" applyFill="1" applyBorder="1" applyAlignment="1" applyProtection="1">
      <alignment horizontal="center" vertical="center" wrapText="1"/>
    </xf>
    <xf numFmtId="0" fontId="27" fillId="25" borderId="27" xfId="0" applyFont="1" applyFill="1" applyBorder="1" applyAlignment="1" applyProtection="1">
      <alignment horizontal="center" vertical="center" wrapText="1"/>
    </xf>
    <xf numFmtId="0" fontId="27" fillId="25" borderId="28" xfId="0" applyFont="1" applyFill="1" applyBorder="1" applyAlignment="1" applyProtection="1">
      <alignment horizontal="center" vertical="center" wrapText="1"/>
    </xf>
    <xf numFmtId="0" fontId="72" fillId="4" borderId="21" xfId="0" applyFont="1" applyFill="1" applyBorder="1" applyAlignment="1">
      <alignment horizontal="left" vertical="center"/>
    </xf>
    <xf numFmtId="0" fontId="72" fillId="4" borderId="17" xfId="0" applyFont="1" applyFill="1" applyBorder="1" applyAlignment="1">
      <alignment horizontal="left" vertical="center"/>
    </xf>
    <xf numFmtId="0" fontId="129" fillId="4" borderId="17" xfId="20" applyFont="1" applyFill="1" applyBorder="1" applyAlignment="1">
      <alignment horizontal="center" vertical="center"/>
    </xf>
    <xf numFmtId="0" fontId="129" fillId="4" borderId="23" xfId="20" applyFont="1" applyFill="1" applyBorder="1" applyAlignment="1">
      <alignment horizontal="center" vertical="center"/>
    </xf>
    <xf numFmtId="0" fontId="14" fillId="4" borderId="19"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58" fillId="6" borderId="7" xfId="20" applyFont="1" applyFill="1" applyBorder="1" applyAlignment="1">
      <alignment horizontal="center" vertical="center"/>
    </xf>
    <xf numFmtId="0" fontId="58" fillId="6" borderId="8" xfId="20" applyFont="1" applyFill="1" applyBorder="1" applyAlignment="1">
      <alignment horizontal="center" vertical="center"/>
    </xf>
    <xf numFmtId="0" fontId="58" fillId="6" borderId="35" xfId="20" applyFont="1" applyFill="1" applyBorder="1" applyAlignment="1">
      <alignment horizontal="center" vertical="center"/>
    </xf>
    <xf numFmtId="0" fontId="23" fillId="0" borderId="2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134" fillId="8" borderId="7" xfId="20" applyFont="1" applyFill="1" applyBorder="1" applyAlignment="1" applyProtection="1">
      <alignment horizontal="center" vertical="center"/>
    </xf>
    <xf numFmtId="0" fontId="134" fillId="8" borderId="8" xfId="20" applyFont="1" applyFill="1" applyBorder="1" applyAlignment="1" applyProtection="1">
      <alignment horizontal="center" vertical="center"/>
    </xf>
    <xf numFmtId="0" fontId="134" fillId="8" borderId="35" xfId="20" applyFont="1" applyFill="1" applyBorder="1" applyAlignment="1" applyProtection="1">
      <alignment horizontal="center" vertical="center"/>
    </xf>
    <xf numFmtId="0" fontId="23" fillId="0" borderId="75" xfId="0" applyFont="1" applyBorder="1" applyAlignment="1" applyProtection="1">
      <alignment horizontal="left" vertical="center"/>
    </xf>
    <xf numFmtId="0" fontId="60" fillId="25" borderId="21" xfId="20" applyFont="1" applyFill="1" applyBorder="1" applyAlignment="1" applyProtection="1">
      <alignment horizontal="center" vertical="center" wrapText="1"/>
    </xf>
    <xf numFmtId="0" fontId="60" fillId="25" borderId="23" xfId="20" applyFont="1" applyFill="1" applyBorder="1" applyAlignment="1" applyProtection="1">
      <alignment horizontal="center" vertical="center" wrapText="1"/>
    </xf>
    <xf numFmtId="0" fontId="23" fillId="2" borderId="20" xfId="0" applyFont="1" applyFill="1" applyBorder="1" applyAlignment="1" applyProtection="1">
      <alignment horizontal="left" vertical="center"/>
      <protection locked="0"/>
    </xf>
    <xf numFmtId="0" fontId="23" fillId="2" borderId="11" xfId="0" applyFont="1" applyFill="1" applyBorder="1" applyAlignment="1" applyProtection="1">
      <alignment horizontal="left" vertical="center"/>
      <protection locked="0"/>
    </xf>
    <xf numFmtId="0" fontId="23" fillId="2" borderId="13"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23" fillId="2" borderId="21" xfId="0" applyFont="1" applyFill="1" applyBorder="1" applyAlignment="1" applyProtection="1">
      <alignment horizontal="left" vertical="center"/>
      <protection locked="0"/>
    </xf>
    <xf numFmtId="0" fontId="23" fillId="2" borderId="17" xfId="0" applyFont="1" applyFill="1" applyBorder="1" applyAlignment="1" applyProtection="1">
      <alignment horizontal="left" vertical="center"/>
      <protection locked="0"/>
    </xf>
    <xf numFmtId="49" fontId="23" fillId="2" borderId="0" xfId="0" applyNumberFormat="1" applyFont="1" applyFill="1" applyBorder="1" applyAlignment="1" applyProtection="1">
      <alignment horizontal="left" vertical="center"/>
      <protection locked="0"/>
    </xf>
    <xf numFmtId="0" fontId="87" fillId="23" borderId="19" xfId="0" applyFont="1" applyFill="1" applyBorder="1" applyAlignment="1">
      <alignment horizontal="left" vertical="center"/>
    </xf>
    <xf numFmtId="0" fontId="133" fillId="23" borderId="18" xfId="0" applyFont="1" applyFill="1" applyBorder="1" applyAlignment="1">
      <alignment horizontal="center"/>
    </xf>
    <xf numFmtId="0" fontId="133" fillId="23" borderId="19" xfId="0" applyFont="1" applyFill="1" applyBorder="1" applyAlignment="1">
      <alignment horizontal="center"/>
    </xf>
    <xf numFmtId="0" fontId="133" fillId="23" borderId="22" xfId="0" applyFont="1" applyFill="1" applyBorder="1" applyAlignment="1">
      <alignment horizont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3" fillId="0" borderId="23" xfId="0" applyFont="1" applyBorder="1" applyAlignment="1">
      <alignment horizontal="center" vertical="center"/>
    </xf>
    <xf numFmtId="0" fontId="23" fillId="2" borderId="20" xfId="0" applyFont="1" applyFill="1" applyBorder="1" applyAlignment="1" applyProtection="1">
      <alignment horizontal="left" vertical="top" wrapText="1"/>
      <protection locked="0"/>
    </xf>
    <xf numFmtId="0" fontId="23" fillId="2" borderId="11" xfId="0" applyFont="1" applyFill="1" applyBorder="1" applyAlignment="1" applyProtection="1">
      <alignment horizontal="left" vertical="top" wrapText="1"/>
      <protection locked="0"/>
    </xf>
    <xf numFmtId="0" fontId="23" fillId="2" borderId="21" xfId="0" applyFont="1" applyFill="1" applyBorder="1" applyAlignment="1" applyProtection="1">
      <alignment horizontal="left" vertical="top" wrapText="1"/>
      <protection locked="0"/>
    </xf>
    <xf numFmtId="0" fontId="23" fillId="2" borderId="17" xfId="0" applyFont="1" applyFill="1" applyBorder="1" applyAlignment="1" applyProtection="1">
      <alignment horizontal="left" vertical="top" wrapText="1"/>
      <protection locked="0"/>
    </xf>
    <xf numFmtId="0" fontId="43" fillId="0" borderId="14" xfId="0" applyFont="1" applyBorder="1" applyAlignment="1">
      <alignment horizontal="center" wrapText="1"/>
    </xf>
    <xf numFmtId="0" fontId="43" fillId="0" borderId="0" xfId="0" applyFont="1" applyBorder="1" applyAlignment="1">
      <alignment horizontal="left" vertical="center" wrapText="1"/>
    </xf>
    <xf numFmtId="0" fontId="87" fillId="23" borderId="19" xfId="0" applyFont="1" applyFill="1" applyBorder="1" applyAlignment="1">
      <alignment horizontal="center" vertical="center"/>
    </xf>
    <xf numFmtId="0" fontId="87" fillId="23" borderId="22" xfId="0" applyFont="1" applyFill="1" applyBorder="1" applyAlignment="1">
      <alignment horizontal="center" vertical="center"/>
    </xf>
    <xf numFmtId="0" fontId="43" fillId="0" borderId="14" xfId="0" applyFont="1" applyBorder="1" applyAlignment="1">
      <alignment horizontal="left" vertical="center" wrapText="1"/>
    </xf>
    <xf numFmtId="0" fontId="23" fillId="0" borderId="13" xfId="0" applyFont="1" applyBorder="1" applyAlignment="1" applyProtection="1">
      <alignment horizontal="left" vertical="center"/>
    </xf>
    <xf numFmtId="0" fontId="23" fillId="0" borderId="0" xfId="0" applyFont="1" applyBorder="1" applyAlignment="1" applyProtection="1">
      <alignment horizontal="left" vertical="center"/>
    </xf>
    <xf numFmtId="49" fontId="23" fillId="2" borderId="9" xfId="0" applyNumberFormat="1" applyFont="1" applyFill="1" applyBorder="1" applyAlignment="1" applyProtection="1">
      <alignment horizontal="left" vertical="center"/>
      <protection locked="0"/>
    </xf>
    <xf numFmtId="0" fontId="87" fillId="20" borderId="19" xfId="0" applyFont="1" applyFill="1" applyBorder="1" applyAlignment="1">
      <alignment horizontal="left" vertical="center"/>
    </xf>
    <xf numFmtId="0" fontId="87" fillId="20" borderId="22" xfId="0" applyFont="1" applyFill="1" applyBorder="1" applyAlignment="1">
      <alignment horizontal="left" vertical="center"/>
    </xf>
    <xf numFmtId="0" fontId="43" fillId="0" borderId="0" xfId="0" applyFont="1" applyBorder="1" applyAlignment="1">
      <alignment horizontal="left" vertical="center"/>
    </xf>
    <xf numFmtId="0" fontId="27" fillId="0" borderId="20" xfId="0" applyFont="1" applyBorder="1" applyAlignment="1" applyProtection="1">
      <alignment vertical="center" wrapText="1"/>
    </xf>
    <xf numFmtId="0" fontId="27" fillId="0" borderId="11" xfId="0" applyFont="1" applyBorder="1" applyAlignment="1" applyProtection="1">
      <alignment vertical="center" wrapText="1"/>
    </xf>
    <xf numFmtId="0" fontId="27" fillId="0" borderId="24" xfId="0" applyFont="1" applyBorder="1" applyAlignment="1" applyProtection="1">
      <alignment vertical="center" wrapText="1"/>
    </xf>
    <xf numFmtId="0" fontId="27" fillId="0" borderId="13" xfId="0" applyFont="1" applyBorder="1" applyAlignment="1" applyProtection="1">
      <alignment vertical="center" wrapText="1"/>
    </xf>
    <xf numFmtId="0" fontId="27" fillId="0" borderId="0" xfId="0" applyFont="1" applyBorder="1" applyAlignment="1" applyProtection="1">
      <alignment vertical="center" wrapText="1"/>
    </xf>
    <xf numFmtId="0" fontId="27" fillId="0" borderId="14" xfId="0" applyFont="1" applyBorder="1" applyAlignment="1" applyProtection="1">
      <alignment vertical="center" wrapText="1"/>
    </xf>
    <xf numFmtId="0" fontId="27" fillId="0" borderId="21" xfId="0" applyFont="1" applyBorder="1" applyAlignment="1" applyProtection="1">
      <alignment vertical="center" wrapText="1"/>
    </xf>
    <xf numFmtId="0" fontId="27" fillId="0" borderId="17" xfId="0" applyFont="1" applyBorder="1" applyAlignment="1" applyProtection="1">
      <alignment vertical="center" wrapText="1"/>
    </xf>
    <xf numFmtId="0" fontId="27" fillId="0" borderId="23" xfId="0" applyFont="1" applyBorder="1" applyAlignment="1" applyProtection="1">
      <alignment vertical="center" wrapText="1"/>
    </xf>
    <xf numFmtId="0" fontId="23" fillId="0" borderId="20"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21" xfId="0" applyFont="1" applyBorder="1" applyAlignment="1" applyProtection="1">
      <alignment horizontal="center" vertical="top" wrapText="1"/>
    </xf>
    <xf numFmtId="0" fontId="87" fillId="23" borderId="11" xfId="0" applyFont="1" applyFill="1" applyBorder="1" applyAlignment="1">
      <alignment horizontal="center" vertical="center"/>
    </xf>
    <xf numFmtId="0" fontId="87" fillId="23" borderId="24" xfId="0" applyFont="1" applyFill="1" applyBorder="1" applyAlignment="1">
      <alignment horizontal="center" vertical="center"/>
    </xf>
    <xf numFmtId="0" fontId="23" fillId="0" borderId="26" xfId="0" applyFont="1" applyBorder="1" applyAlignment="1" applyProtection="1">
      <alignment horizontal="left" vertical="center"/>
    </xf>
    <xf numFmtId="0" fontId="87" fillId="19" borderId="19" xfId="0" applyFont="1" applyFill="1" applyBorder="1" applyAlignment="1">
      <alignment horizontal="left" vertical="center"/>
    </xf>
    <xf numFmtId="0" fontId="87" fillId="19" borderId="22" xfId="0" applyFont="1" applyFill="1" applyBorder="1" applyAlignment="1">
      <alignment horizontal="left" vertical="center"/>
    </xf>
    <xf numFmtId="0" fontId="23" fillId="0" borderId="18" xfId="0" applyFont="1" applyBorder="1" applyAlignment="1" applyProtection="1">
      <alignment horizontal="center"/>
      <protection locked="0"/>
    </xf>
    <xf numFmtId="0" fontId="23" fillId="0" borderId="19" xfId="0" applyFont="1" applyBorder="1" applyAlignment="1" applyProtection="1">
      <alignment horizontal="center"/>
      <protection locked="0"/>
    </xf>
    <xf numFmtId="167" fontId="23" fillId="0" borderId="43" xfId="0" applyNumberFormat="1" applyFont="1" applyBorder="1" applyAlignment="1">
      <alignment horizontal="right" vertical="center"/>
    </xf>
    <xf numFmtId="167" fontId="23" fillId="0" borderId="5" xfId="0" applyNumberFormat="1" applyFont="1" applyBorder="1" applyAlignment="1">
      <alignment horizontal="left" vertical="center"/>
    </xf>
    <xf numFmtId="0" fontId="27" fillId="0" borderId="29" xfId="0" applyFont="1" applyBorder="1" applyAlignment="1">
      <alignment horizontal="left" vertical="center"/>
    </xf>
    <xf numFmtId="0" fontId="23" fillId="2" borderId="26" xfId="0" applyFont="1" applyFill="1" applyBorder="1" applyAlignment="1" applyProtection="1">
      <alignment horizontal="left" vertical="center"/>
      <protection locked="0"/>
    </xf>
    <xf numFmtId="0" fontId="134" fillId="20" borderId="18" xfId="20" applyFont="1" applyFill="1" applyBorder="1" applyAlignment="1">
      <alignment horizontal="center" vertical="center"/>
    </xf>
    <xf numFmtId="0" fontId="134" fillId="20" borderId="19" xfId="20" applyFont="1" applyFill="1" applyBorder="1" applyAlignment="1">
      <alignment horizontal="center" vertical="center"/>
    </xf>
    <xf numFmtId="0" fontId="134" fillId="20" borderId="22" xfId="20" applyFont="1" applyFill="1" applyBorder="1" applyAlignment="1">
      <alignment horizontal="center" vertical="center"/>
    </xf>
    <xf numFmtId="0" fontId="27" fillId="0" borderId="20" xfId="0" applyFont="1" applyBorder="1" applyAlignment="1" applyProtection="1">
      <alignment horizontal="left" vertical="center"/>
    </xf>
    <xf numFmtId="0" fontId="27" fillId="0" borderId="11" xfId="0" applyFont="1" applyBorder="1" applyAlignment="1" applyProtection="1">
      <alignment horizontal="left" vertical="center"/>
    </xf>
    <xf numFmtId="0" fontId="43" fillId="0" borderId="0" xfId="0" applyFont="1" applyBorder="1" applyAlignment="1">
      <alignment horizontal="left" vertical="top" wrapText="1"/>
    </xf>
    <xf numFmtId="0" fontId="87" fillId="20" borderId="11" xfId="0" applyFont="1" applyFill="1" applyBorder="1" applyAlignment="1">
      <alignment horizontal="left" vertical="center"/>
    </xf>
    <xf numFmtId="0" fontId="23" fillId="2" borderId="30" xfId="0" applyFont="1" applyFill="1" applyBorder="1" applyAlignment="1" applyProtection="1">
      <alignment horizontal="left" vertical="center"/>
      <protection locked="0"/>
    </xf>
    <xf numFmtId="0" fontId="87" fillId="19" borderId="11" xfId="0" applyFont="1" applyFill="1" applyBorder="1" applyAlignment="1">
      <alignment horizontal="left" vertical="center"/>
    </xf>
    <xf numFmtId="0" fontId="58" fillId="19" borderId="19" xfId="20" applyFont="1" applyFill="1" applyBorder="1" applyAlignment="1">
      <alignment horizontal="center" vertical="center"/>
    </xf>
    <xf numFmtId="0" fontId="58" fillId="19" borderId="22" xfId="20" applyFont="1" applyFill="1" applyBorder="1" applyAlignment="1">
      <alignment horizontal="center" vertical="center"/>
    </xf>
    <xf numFmtId="0" fontId="23" fillId="0" borderId="13" xfId="0" applyFont="1" applyBorder="1" applyAlignment="1">
      <alignment horizontal="left" vertical="center"/>
    </xf>
    <xf numFmtId="0" fontId="23" fillId="0" borderId="0" xfId="0" applyFont="1" applyBorder="1" applyAlignment="1">
      <alignment horizontal="left" vertical="center"/>
    </xf>
    <xf numFmtId="0" fontId="27" fillId="0" borderId="20" xfId="0" applyFont="1" applyBorder="1" applyAlignment="1">
      <alignment vertical="center"/>
    </xf>
    <xf numFmtId="0" fontId="27" fillId="0" borderId="11" xfId="0" applyFont="1" applyBorder="1" applyAlignment="1">
      <alignment vertical="center"/>
    </xf>
    <xf numFmtId="0" fontId="23" fillId="2" borderId="24" xfId="0" applyFont="1" applyFill="1" applyBorder="1" applyAlignment="1" applyProtection="1">
      <alignment horizontal="left" vertical="top" wrapText="1"/>
      <protection locked="0"/>
    </xf>
    <xf numFmtId="0" fontId="23" fillId="2" borderId="13" xfId="0" applyFont="1" applyFill="1" applyBorder="1" applyAlignment="1" applyProtection="1">
      <alignment horizontal="left" vertical="top" wrapText="1"/>
      <protection locked="0"/>
    </xf>
    <xf numFmtId="0" fontId="23" fillId="2" borderId="0" xfId="0" applyFont="1" applyFill="1" applyBorder="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23" fillId="2" borderId="23" xfId="0" applyFont="1" applyFill="1" applyBorder="1" applyAlignment="1" applyProtection="1">
      <alignment horizontal="left" vertical="top" wrapText="1"/>
      <protection locked="0"/>
    </xf>
    <xf numFmtId="0" fontId="110" fillId="0" borderId="13" xfId="0" applyFont="1" applyBorder="1" applyAlignment="1" applyProtection="1">
      <alignment horizontal="center" vertical="top" wrapText="1"/>
    </xf>
    <xf numFmtId="0" fontId="110" fillId="0" borderId="14" xfId="0" applyFont="1" applyBorder="1" applyAlignment="1" applyProtection="1">
      <alignment horizontal="center" vertical="top" wrapText="1"/>
    </xf>
    <xf numFmtId="4" fontId="23" fillId="0" borderId="18" xfId="0" applyNumberFormat="1" applyFont="1" applyBorder="1" applyAlignment="1" applyProtection="1">
      <alignment horizontal="left" vertical="center"/>
    </xf>
    <xf numFmtId="4" fontId="23" fillId="0" borderId="19" xfId="0" applyNumberFormat="1" applyFont="1" applyBorder="1" applyAlignment="1" applyProtection="1">
      <alignment horizontal="left" vertical="center"/>
    </xf>
    <xf numFmtId="4" fontId="23" fillId="0" borderId="22" xfId="0" applyNumberFormat="1" applyFont="1" applyBorder="1" applyAlignment="1" applyProtection="1">
      <alignment horizontal="left" vertical="center"/>
    </xf>
    <xf numFmtId="4" fontId="27" fillId="0" borderId="18" xfId="0" applyNumberFormat="1" applyFont="1" applyFill="1" applyBorder="1" applyAlignment="1" applyProtection="1">
      <alignment horizontal="left" vertical="center"/>
    </xf>
    <xf numFmtId="4" fontId="27" fillId="0" borderId="19" xfId="0" applyNumberFormat="1" applyFont="1" applyFill="1" applyBorder="1" applyAlignment="1" applyProtection="1">
      <alignment horizontal="left" vertical="center"/>
    </xf>
    <xf numFmtId="184" fontId="23" fillId="2" borderId="26" xfId="0" applyNumberFormat="1" applyFont="1" applyFill="1" applyBorder="1" applyAlignment="1" applyProtection="1">
      <alignment horizontal="center" vertical="center"/>
      <protection locked="0"/>
    </xf>
    <xf numFmtId="184" fontId="23" fillId="2" borderId="22" xfId="0" applyNumberFormat="1" applyFont="1" applyFill="1" applyBorder="1" applyAlignment="1" applyProtection="1">
      <alignment horizontal="center" vertical="center"/>
      <protection locked="0"/>
    </xf>
    <xf numFmtId="0" fontId="27" fillId="0" borderId="22" xfId="0" applyFont="1" applyBorder="1" applyAlignment="1">
      <alignment horizontal="left" vertical="center"/>
    </xf>
    <xf numFmtId="180" fontId="23" fillId="2" borderId="18" xfId="5" applyNumberFormat="1" applyFont="1" applyFill="1" applyBorder="1" applyAlignment="1" applyProtection="1">
      <alignment vertical="center"/>
      <protection locked="0"/>
    </xf>
    <xf numFmtId="180" fontId="23" fillId="2" borderId="22" xfId="5" applyNumberFormat="1" applyFont="1" applyFill="1" applyBorder="1" applyAlignment="1" applyProtection="1">
      <alignment vertical="center"/>
      <protection locked="0"/>
    </xf>
    <xf numFmtId="0" fontId="72" fillId="4" borderId="20" xfId="0" applyFont="1" applyFill="1" applyBorder="1" applyAlignment="1">
      <alignment horizontal="left" vertical="center"/>
    </xf>
    <xf numFmtId="0" fontId="72" fillId="4" borderId="11" xfId="0" applyFont="1" applyFill="1" applyBorder="1" applyAlignment="1">
      <alignment horizontal="left" vertical="center"/>
    </xf>
    <xf numFmtId="0" fontId="54" fillId="0" borderId="20" xfId="0" applyNumberFormat="1" applyFont="1" applyFill="1" applyBorder="1" applyAlignment="1" applyProtection="1">
      <alignment horizontal="center" wrapText="1"/>
    </xf>
    <xf numFmtId="0" fontId="54" fillId="0" borderId="24" xfId="0" applyNumberFormat="1" applyFont="1" applyFill="1" applyBorder="1" applyAlignment="1" applyProtection="1">
      <alignment horizontal="center" wrapText="1"/>
    </xf>
    <xf numFmtId="0" fontId="27" fillId="0" borderId="18" xfId="0" applyNumberFormat="1" applyFont="1" applyFill="1" applyBorder="1" applyAlignment="1" applyProtection="1">
      <alignment horizontal="center" vertical="center" wrapText="1"/>
    </xf>
    <xf numFmtId="0" fontId="27" fillId="0" borderId="22" xfId="0" applyNumberFormat="1" applyFont="1" applyFill="1" applyBorder="1" applyAlignment="1" applyProtection="1">
      <alignment horizontal="center" vertical="center" wrapText="1"/>
    </xf>
    <xf numFmtId="0" fontId="23" fillId="2" borderId="24" xfId="0" applyFont="1" applyFill="1" applyBorder="1" applyAlignment="1" applyProtection="1">
      <alignment horizontal="left" vertical="center"/>
      <protection locked="0"/>
    </xf>
    <xf numFmtId="0" fontId="54" fillId="0" borderId="20" xfId="0" applyNumberFormat="1" applyFont="1" applyFill="1" applyBorder="1" applyAlignment="1" applyProtection="1">
      <alignment horizontal="center" vertical="center" wrapText="1"/>
    </xf>
    <xf numFmtId="0" fontId="54" fillId="0" borderId="24" xfId="0" applyNumberFormat="1" applyFont="1" applyFill="1" applyBorder="1" applyAlignment="1" applyProtection="1">
      <alignment horizontal="center" vertical="center" wrapText="1"/>
    </xf>
    <xf numFmtId="0" fontId="110" fillId="0" borderId="21" xfId="0" applyFont="1" applyBorder="1" applyAlignment="1" applyProtection="1">
      <alignment horizontal="center" vertical="top" wrapText="1"/>
    </xf>
    <xf numFmtId="0" fontId="110" fillId="0" borderId="23" xfId="0" applyFont="1" applyBorder="1" applyAlignment="1" applyProtection="1">
      <alignment horizontal="center" vertical="top" wrapText="1"/>
    </xf>
    <xf numFmtId="0" fontId="27" fillId="0" borderId="37" xfId="0" applyFont="1" applyBorder="1" applyAlignment="1" applyProtection="1">
      <alignment horizontal="left" vertical="center"/>
    </xf>
    <xf numFmtId="0" fontId="27" fillId="0" borderId="38" xfId="0" applyFont="1" applyBorder="1" applyAlignment="1" applyProtection="1">
      <alignment horizontal="left" vertical="center"/>
    </xf>
    <xf numFmtId="0" fontId="23" fillId="0" borderId="27" xfId="0" applyFont="1" applyBorder="1" applyAlignment="1" applyProtection="1">
      <alignment horizontal="left" vertical="center"/>
    </xf>
    <xf numFmtId="0" fontId="27" fillId="0" borderId="18" xfId="0" applyFont="1" applyBorder="1" applyAlignment="1" applyProtection="1">
      <alignment horizontal="left" vertical="center"/>
    </xf>
    <xf numFmtId="0" fontId="27" fillId="0" borderId="19" xfId="0" applyFont="1" applyBorder="1" applyAlignment="1" applyProtection="1">
      <alignment horizontal="left" vertical="center"/>
    </xf>
    <xf numFmtId="0" fontId="27" fillId="0" borderId="22" xfId="0" applyFont="1" applyBorder="1" applyAlignment="1" applyProtection="1">
      <alignment horizontal="left" vertical="center"/>
    </xf>
    <xf numFmtId="0" fontId="111" fillId="0" borderId="20" xfId="0" applyFont="1" applyBorder="1" applyAlignment="1">
      <alignment horizontal="center" vertical="center"/>
    </xf>
    <xf numFmtId="0" fontId="111" fillId="0" borderId="11" xfId="0" applyFont="1" applyBorder="1" applyAlignment="1">
      <alignment horizontal="center" vertical="center"/>
    </xf>
    <xf numFmtId="0" fontId="111" fillId="0" borderId="24" xfId="0" applyFont="1" applyBorder="1" applyAlignment="1">
      <alignment horizontal="center" vertical="center"/>
    </xf>
    <xf numFmtId="0" fontId="23" fillId="0" borderId="13"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21" xfId="0" applyFont="1" applyFill="1" applyBorder="1" applyAlignment="1" applyProtection="1">
      <alignment horizontal="left" vertical="center"/>
    </xf>
    <xf numFmtId="0" fontId="23" fillId="0" borderId="17" xfId="0" applyFont="1" applyFill="1" applyBorder="1" applyAlignment="1" applyProtection="1">
      <alignment horizontal="left" vertical="center"/>
    </xf>
    <xf numFmtId="0" fontId="86" fillId="4" borderId="13" xfId="0" applyFont="1" applyFill="1" applyBorder="1" applyAlignment="1">
      <alignment horizontal="center" vertical="center" wrapText="1"/>
    </xf>
    <xf numFmtId="0" fontId="86" fillId="4" borderId="14" xfId="0" applyFont="1" applyFill="1" applyBorder="1" applyAlignment="1">
      <alignment horizontal="center" vertical="center" wrapText="1"/>
    </xf>
    <xf numFmtId="4" fontId="23" fillId="0" borderId="50" xfId="0" applyNumberFormat="1" applyFont="1" applyBorder="1" applyAlignment="1">
      <alignment horizontal="center" vertical="center" wrapText="1"/>
    </xf>
    <xf numFmtId="4" fontId="23" fillId="0" borderId="26" xfId="0" applyNumberFormat="1" applyFont="1" applyBorder="1" applyAlignment="1">
      <alignment horizontal="center" vertical="center" wrapText="1"/>
    </xf>
    <xf numFmtId="4" fontId="23" fillId="0" borderId="30" xfId="0" applyNumberFormat="1" applyFont="1" applyBorder="1" applyAlignment="1">
      <alignment horizontal="center" vertical="center" wrapText="1"/>
    </xf>
    <xf numFmtId="4" fontId="23" fillId="0" borderId="18" xfId="0" applyNumberFormat="1" applyFont="1" applyBorder="1" applyAlignment="1">
      <alignment horizontal="center" vertical="center" wrapText="1"/>
    </xf>
    <xf numFmtId="4" fontId="23" fillId="0" borderId="31" xfId="0" applyNumberFormat="1" applyFont="1" applyBorder="1" applyAlignment="1">
      <alignment horizontal="center" vertical="center" wrapText="1"/>
    </xf>
    <xf numFmtId="4" fontId="23" fillId="0" borderId="29" xfId="0" applyNumberFormat="1" applyFont="1" applyBorder="1" applyAlignment="1">
      <alignment horizontal="center" vertical="center" wrapText="1"/>
    </xf>
    <xf numFmtId="4" fontId="23" fillId="0" borderId="27" xfId="0" applyNumberFormat="1" applyFont="1" applyBorder="1" applyAlignment="1">
      <alignment horizontal="center" vertical="center" wrapText="1"/>
    </xf>
    <xf numFmtId="4" fontId="23" fillId="0" borderId="14" xfId="0" applyNumberFormat="1" applyFont="1" applyBorder="1" applyAlignment="1">
      <alignment horizontal="center" vertical="center" wrapText="1"/>
    </xf>
    <xf numFmtId="4" fontId="23" fillId="0" borderId="23" xfId="0" applyNumberFormat="1" applyFont="1" applyBorder="1" applyAlignment="1">
      <alignment horizontal="center" vertical="center" wrapText="1"/>
    </xf>
    <xf numFmtId="4" fontId="23" fillId="0" borderId="20" xfId="0" applyNumberFormat="1" applyFont="1" applyBorder="1" applyAlignment="1">
      <alignment horizontal="center" vertical="center" wrapText="1"/>
    </xf>
    <xf numFmtId="4" fontId="23" fillId="0" borderId="11" xfId="0" applyNumberFormat="1" applyFont="1" applyBorder="1" applyAlignment="1">
      <alignment horizontal="center" vertical="center" wrapText="1"/>
    </xf>
    <xf numFmtId="4" fontId="23" fillId="0" borderId="13" xfId="0" applyNumberFormat="1" applyFont="1" applyBorder="1" applyAlignment="1">
      <alignment horizontal="center" vertical="center" wrapText="1"/>
    </xf>
    <xf numFmtId="4" fontId="23" fillId="0" borderId="0" xfId="0" applyNumberFormat="1" applyFont="1" applyBorder="1" applyAlignment="1">
      <alignment horizontal="center" vertical="center" wrapText="1"/>
    </xf>
    <xf numFmtId="4" fontId="23" fillId="0" borderId="21" xfId="0" applyNumberFormat="1" applyFont="1" applyBorder="1" applyAlignment="1">
      <alignment horizontal="center" vertical="center" wrapText="1"/>
    </xf>
    <xf numFmtId="4" fontId="23" fillId="0" borderId="17" xfId="0" applyNumberFormat="1" applyFont="1" applyBorder="1" applyAlignment="1">
      <alignment horizontal="center" vertical="center" wrapText="1"/>
    </xf>
    <xf numFmtId="4" fontId="23" fillId="0" borderId="28" xfId="0" applyNumberFormat="1" applyFont="1" applyBorder="1" applyAlignment="1">
      <alignment horizontal="center" vertical="center" wrapText="1"/>
    </xf>
    <xf numFmtId="4" fontId="23" fillId="0" borderId="37" xfId="0" applyNumberFormat="1" applyFont="1" applyBorder="1" applyAlignment="1">
      <alignment horizontal="center"/>
    </xf>
    <xf numFmtId="4" fontId="23" fillId="0" borderId="38" xfId="0" applyNumberFormat="1" applyFont="1" applyBorder="1" applyAlignment="1">
      <alignment horizontal="center"/>
    </xf>
    <xf numFmtId="49" fontId="23" fillId="2" borderId="18" xfId="0" applyNumberFormat="1" applyFont="1" applyFill="1" applyBorder="1" applyAlignment="1" applyProtection="1">
      <alignment horizontal="left" vertical="top" wrapText="1"/>
      <protection locked="0"/>
    </xf>
    <xf numFmtId="49" fontId="23" fillId="2" borderId="22" xfId="0" applyNumberFormat="1" applyFont="1" applyFill="1" applyBorder="1" applyAlignment="1" applyProtection="1">
      <alignment horizontal="left" vertical="top" wrapText="1"/>
      <protection locked="0"/>
    </xf>
    <xf numFmtId="10" fontId="23" fillId="0" borderId="20" xfId="9" applyNumberFormat="1" applyFont="1" applyBorder="1" applyAlignment="1">
      <alignment horizontal="right" vertical="center"/>
    </xf>
    <xf numFmtId="10" fontId="23" fillId="0" borderId="25" xfId="9" applyNumberFormat="1" applyFont="1" applyBorder="1" applyAlignment="1">
      <alignment horizontal="right" vertical="center"/>
    </xf>
    <xf numFmtId="4" fontId="23" fillId="0" borderId="24" xfId="0" applyNumberFormat="1" applyFont="1" applyBorder="1" applyAlignment="1">
      <alignment horizontal="center" vertical="center" wrapText="1"/>
    </xf>
    <xf numFmtId="4" fontId="27" fillId="0" borderId="20" xfId="0" applyNumberFormat="1" applyFont="1" applyBorder="1" applyAlignment="1">
      <alignment horizontal="left" vertical="top" wrapText="1"/>
    </xf>
    <xf numFmtId="4" fontId="27" fillId="0" borderId="24" xfId="0" applyNumberFormat="1" applyFont="1" applyBorder="1" applyAlignment="1">
      <alignment horizontal="left" vertical="top" wrapText="1"/>
    </xf>
    <xf numFmtId="4" fontId="27" fillId="0" borderId="13" xfId="0" applyNumberFormat="1" applyFont="1" applyBorder="1" applyAlignment="1">
      <alignment horizontal="left" vertical="top" wrapText="1"/>
    </xf>
    <xf numFmtId="4" fontId="27" fillId="0" borderId="14" xfId="0" applyNumberFormat="1" applyFont="1" applyBorder="1" applyAlignment="1">
      <alignment horizontal="left" vertical="top" wrapText="1"/>
    </xf>
    <xf numFmtId="181" fontId="11" fillId="4" borderId="18" xfId="0" applyNumberFormat="1" applyFont="1" applyFill="1" applyBorder="1" applyAlignment="1">
      <alignment horizontal="center" vertical="center"/>
    </xf>
    <xf numFmtId="181" fontId="11" fillId="4" borderId="22" xfId="0" applyNumberFormat="1" applyFont="1" applyFill="1" applyBorder="1" applyAlignment="1">
      <alignment horizontal="center" vertical="center"/>
    </xf>
    <xf numFmtId="0" fontId="14" fillId="4" borderId="19" xfId="0" applyFont="1" applyFill="1" applyBorder="1" applyAlignment="1">
      <alignment horizontal="center" vertical="center"/>
    </xf>
    <xf numFmtId="0" fontId="14" fillId="4" borderId="22" xfId="0" applyFont="1" applyFill="1" applyBorder="1" applyAlignment="1">
      <alignment horizontal="center" vertical="center"/>
    </xf>
    <xf numFmtId="0" fontId="72" fillId="4" borderId="26" xfId="0" applyFont="1" applyFill="1" applyBorder="1" applyAlignment="1">
      <alignment horizontal="left" vertical="center"/>
    </xf>
    <xf numFmtId="0" fontId="72" fillId="4" borderId="18" xfId="0" applyFont="1" applyFill="1" applyBorder="1" applyAlignment="1">
      <alignment horizontal="left" vertical="center"/>
    </xf>
    <xf numFmtId="0" fontId="23" fillId="0" borderId="20" xfId="0" applyFont="1" applyBorder="1" applyAlignment="1">
      <alignment horizontal="right"/>
    </xf>
    <xf numFmtId="0" fontId="23" fillId="0" borderId="24" xfId="0" applyFont="1" applyBorder="1" applyAlignment="1">
      <alignment horizontal="right"/>
    </xf>
    <xf numFmtId="0" fontId="23" fillId="2" borderId="23" xfId="0" applyFont="1" applyFill="1" applyBorder="1" applyAlignment="1" applyProtection="1">
      <alignment horizontal="left" vertical="center"/>
      <protection locked="0"/>
    </xf>
    <xf numFmtId="14" fontId="23" fillId="2" borderId="26" xfId="0" applyNumberFormat="1" applyFont="1" applyFill="1" applyBorder="1" applyAlignment="1" applyProtection="1">
      <alignment horizontal="center" vertical="center"/>
      <protection locked="0"/>
    </xf>
    <xf numFmtId="14" fontId="23" fillId="2" borderId="18" xfId="0" applyNumberFormat="1" applyFont="1" applyFill="1" applyBorder="1" applyAlignment="1" applyProtection="1">
      <alignment horizontal="center" vertical="center"/>
      <protection locked="0"/>
    </xf>
    <xf numFmtId="0" fontId="72" fillId="4" borderId="13" xfId="0" applyFont="1" applyFill="1" applyBorder="1" applyAlignment="1">
      <alignment horizontal="left" vertical="center"/>
    </xf>
    <xf numFmtId="0" fontId="72" fillId="4" borderId="0" xfId="0" applyFont="1" applyFill="1" applyBorder="1" applyAlignment="1">
      <alignment horizontal="left" vertical="center"/>
    </xf>
    <xf numFmtId="0" fontId="72" fillId="4" borderId="14" xfId="0" applyFont="1" applyFill="1" applyBorder="1" applyAlignment="1">
      <alignment horizontal="left" vertical="center"/>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72" fillId="4" borderId="18" xfId="0" applyFont="1" applyFill="1" applyBorder="1" applyAlignment="1">
      <alignment horizontal="center"/>
    </xf>
    <xf numFmtId="0" fontId="72" fillId="4" borderId="19" xfId="0" applyFont="1" applyFill="1" applyBorder="1" applyAlignment="1">
      <alignment horizontal="center"/>
    </xf>
    <xf numFmtId="0" fontId="72" fillId="4" borderId="19" xfId="0" applyFont="1" applyFill="1" applyBorder="1" applyAlignment="1">
      <alignment horizontal="right" vertical="center"/>
    </xf>
    <xf numFmtId="0" fontId="23" fillId="0" borderId="20" xfId="0" applyFont="1" applyBorder="1" applyAlignment="1">
      <alignment vertical="center" wrapText="1"/>
    </xf>
    <xf numFmtId="0" fontId="23" fillId="0" borderId="11" xfId="0" applyFont="1" applyBorder="1" applyAlignment="1">
      <alignment vertical="center"/>
    </xf>
    <xf numFmtId="0" fontId="23" fillId="0" borderId="24" xfId="0" applyFont="1" applyBorder="1" applyAlignment="1">
      <alignment vertical="center"/>
    </xf>
    <xf numFmtId="0" fontId="23" fillId="0" borderId="21" xfId="0" applyFont="1" applyBorder="1" applyAlignment="1">
      <alignment vertical="center"/>
    </xf>
    <xf numFmtId="0" fontId="23" fillId="0" borderId="17" xfId="0" applyFont="1" applyBorder="1" applyAlignment="1">
      <alignment vertical="center"/>
    </xf>
    <xf numFmtId="0" fontId="23" fillId="0" borderId="23" xfId="0" applyFont="1" applyBorder="1" applyAlignment="1">
      <alignment vertical="center"/>
    </xf>
    <xf numFmtId="0" fontId="34" fillId="0" borderId="21" xfId="0" applyFont="1" applyBorder="1" applyAlignment="1">
      <alignment horizontal="left" vertical="center"/>
    </xf>
    <xf numFmtId="0" fontId="34" fillId="0" borderId="17" xfId="0" applyFont="1" applyBorder="1" applyAlignment="1">
      <alignment horizontal="left" vertical="center"/>
    </xf>
    <xf numFmtId="0" fontId="23" fillId="0" borderId="20" xfId="0" applyFont="1" applyBorder="1" applyAlignment="1">
      <alignment horizontal="left" vertical="top" wrapText="1"/>
    </xf>
    <xf numFmtId="0" fontId="23" fillId="0" borderId="11" xfId="0" applyFont="1" applyBorder="1" applyAlignment="1">
      <alignment horizontal="left" vertical="top"/>
    </xf>
    <xf numFmtId="0" fontId="23" fillId="0" borderId="24" xfId="0" applyFont="1" applyBorder="1" applyAlignment="1">
      <alignment horizontal="left" vertical="top"/>
    </xf>
    <xf numFmtId="0" fontId="23" fillId="0" borderId="0" xfId="0" applyFont="1" applyBorder="1" applyAlignment="1">
      <alignment horizontal="left" vertical="top"/>
    </xf>
    <xf numFmtId="0" fontId="23" fillId="0" borderId="14" xfId="0" applyFont="1" applyBorder="1" applyAlignment="1">
      <alignment horizontal="left" vertical="top"/>
    </xf>
    <xf numFmtId="0" fontId="23" fillId="0" borderId="21" xfId="0" applyFont="1" applyBorder="1" applyAlignment="1">
      <alignment horizontal="left" vertical="top"/>
    </xf>
    <xf numFmtId="0" fontId="23" fillId="0" borderId="17" xfId="0" applyFont="1" applyBorder="1" applyAlignment="1">
      <alignment horizontal="left" vertical="top"/>
    </xf>
    <xf numFmtId="0" fontId="23" fillId="0" borderId="23" xfId="0" applyFont="1" applyBorder="1" applyAlignment="1">
      <alignment horizontal="left" vertical="top"/>
    </xf>
    <xf numFmtId="0" fontId="23" fillId="0" borderId="20" xfId="0" applyFont="1" applyBorder="1" applyAlignment="1">
      <alignment horizontal="left" vertical="center"/>
    </xf>
    <xf numFmtId="0" fontId="23" fillId="0" borderId="11" xfId="0" applyFont="1" applyBorder="1" applyAlignment="1">
      <alignment horizontal="left" vertical="center"/>
    </xf>
    <xf numFmtId="0" fontId="23" fillId="0" borderId="24" xfId="0" applyFont="1" applyBorder="1" applyAlignment="1">
      <alignment horizontal="left" vertical="center"/>
    </xf>
    <xf numFmtId="0" fontId="23" fillId="0" borderId="6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58" xfId="0" applyFont="1" applyBorder="1" applyAlignment="1">
      <alignment horizontal="center" vertical="center" wrapText="1"/>
    </xf>
    <xf numFmtId="0" fontId="72" fillId="4" borderId="19" xfId="0" applyFont="1" applyFill="1" applyBorder="1" applyAlignment="1">
      <alignment horizontal="left" vertical="center"/>
    </xf>
    <xf numFmtId="0" fontId="40" fillId="0" borderId="18" xfId="0" applyFont="1" applyBorder="1" applyAlignment="1">
      <alignment horizontal="right" vertical="center"/>
    </xf>
    <xf numFmtId="0" fontId="40" fillId="0" borderId="19" xfId="0" applyFont="1" applyBorder="1" applyAlignment="1">
      <alignment horizontal="right" vertical="center"/>
    </xf>
    <xf numFmtId="0" fontId="58" fillId="0" borderId="19" xfId="20" applyFont="1" applyBorder="1" applyAlignment="1" applyProtection="1">
      <alignment horizontal="center" vertical="center"/>
      <protection locked="0" hidden="1"/>
    </xf>
    <xf numFmtId="0" fontId="58" fillId="0" borderId="22" xfId="20" applyFont="1" applyBorder="1" applyAlignment="1" applyProtection="1">
      <alignment horizontal="center" vertical="center"/>
      <protection locked="0" hidden="1"/>
    </xf>
    <xf numFmtId="0" fontId="27" fillId="0" borderId="20" xfId="0" applyFont="1" applyBorder="1" applyAlignment="1">
      <alignment horizontal="left" vertical="center"/>
    </xf>
    <xf numFmtId="0" fontId="27" fillId="0" borderId="11" xfId="0" applyFont="1" applyBorder="1" applyAlignment="1">
      <alignment horizontal="left" vertical="center"/>
    </xf>
    <xf numFmtId="0" fontId="23" fillId="0" borderId="29" xfId="0" applyFont="1" applyBorder="1" applyAlignment="1">
      <alignment horizontal="center" vertical="center"/>
    </xf>
    <xf numFmtId="0" fontId="23" fillId="0" borderId="61" xfId="0" applyFont="1" applyBorder="1" applyAlignment="1">
      <alignment horizontal="center" vertical="center"/>
    </xf>
    <xf numFmtId="4" fontId="27" fillId="0" borderId="18" xfId="0" applyNumberFormat="1" applyFont="1" applyBorder="1" applyAlignment="1">
      <alignment horizontal="left" vertical="center"/>
    </xf>
    <xf numFmtId="4" fontId="27" fillId="0" borderId="19" xfId="0" applyNumberFormat="1" applyFont="1" applyBorder="1" applyAlignment="1">
      <alignment horizontal="left" vertical="center"/>
    </xf>
    <xf numFmtId="4" fontId="27" fillId="0" borderId="21" xfId="0" applyNumberFormat="1" applyFont="1" applyBorder="1" applyAlignment="1">
      <alignment horizontal="left" vertical="center"/>
    </xf>
    <xf numFmtId="4" fontId="27" fillId="0" borderId="17" xfId="0" applyNumberFormat="1" applyFont="1" applyBorder="1" applyAlignment="1">
      <alignment horizontal="left" vertical="center"/>
    </xf>
    <xf numFmtId="4" fontId="23" fillId="0" borderId="20" xfId="0" applyNumberFormat="1" applyFont="1" applyBorder="1" applyAlignment="1">
      <alignment horizontal="center" vertical="center"/>
    </xf>
    <xf numFmtId="4" fontId="23" fillId="0" borderId="11" xfId="0" applyNumberFormat="1" applyFont="1" applyBorder="1" applyAlignment="1">
      <alignment horizontal="center" vertical="center"/>
    </xf>
    <xf numFmtId="4" fontId="23" fillId="0" borderId="24" xfId="0" applyNumberFormat="1" applyFont="1" applyBorder="1" applyAlignment="1">
      <alignment horizontal="center" vertical="center"/>
    </xf>
    <xf numFmtId="4" fontId="23" fillId="0" borderId="25" xfId="0" applyNumberFormat="1" applyFont="1" applyBorder="1" applyAlignment="1">
      <alignment horizontal="center" vertical="center"/>
    </xf>
    <xf numFmtId="4" fontId="23" fillId="0" borderId="9" xfId="0" applyNumberFormat="1" applyFont="1" applyBorder="1" applyAlignment="1">
      <alignment horizontal="center" vertical="center"/>
    </xf>
    <xf numFmtId="4" fontId="23" fillId="0" borderId="15" xfId="0" applyNumberFormat="1" applyFont="1" applyBorder="1" applyAlignment="1">
      <alignment horizontal="center" vertical="center"/>
    </xf>
    <xf numFmtId="0" fontId="23" fillId="0" borderId="18" xfId="0" applyFont="1" applyFill="1" applyBorder="1" applyAlignment="1" applyProtection="1">
      <alignment horizontal="center"/>
      <protection locked="0"/>
    </xf>
    <xf numFmtId="0" fontId="23" fillId="0" borderId="19" xfId="0" applyFont="1" applyFill="1" applyBorder="1" applyAlignment="1" applyProtection="1">
      <alignment horizontal="center"/>
      <protection locked="0"/>
    </xf>
    <xf numFmtId="4" fontId="23" fillId="2" borderId="21" xfId="0" applyNumberFormat="1" applyFont="1" applyFill="1" applyBorder="1" applyAlignment="1" applyProtection="1">
      <alignment horizontal="left" vertical="top" wrapText="1"/>
      <protection locked="0"/>
    </xf>
    <xf numFmtId="4" fontId="23" fillId="2" borderId="23" xfId="0" applyNumberFormat="1" applyFont="1" applyFill="1" applyBorder="1" applyAlignment="1" applyProtection="1">
      <alignment horizontal="left" vertical="top" wrapText="1"/>
      <protection locked="0"/>
    </xf>
    <xf numFmtId="4" fontId="23" fillId="2" borderId="18" xfId="0" applyNumberFormat="1" applyFont="1" applyFill="1" applyBorder="1" applyAlignment="1" applyProtection="1">
      <alignment horizontal="left" vertical="top" wrapText="1"/>
      <protection locked="0"/>
    </xf>
    <xf numFmtId="4" fontId="23" fillId="2" borderId="22" xfId="0" applyNumberFormat="1" applyFont="1" applyFill="1" applyBorder="1" applyAlignment="1" applyProtection="1">
      <alignment horizontal="left" vertical="top" wrapText="1"/>
      <protection locked="0"/>
    </xf>
    <xf numFmtId="4" fontId="23" fillId="0" borderId="25" xfId="0" applyNumberFormat="1" applyFont="1" applyBorder="1" applyAlignment="1">
      <alignment horizontal="left" vertical="center"/>
    </xf>
    <xf numFmtId="4" fontId="23" fillId="0" borderId="9" xfId="0" applyNumberFormat="1" applyFont="1" applyBorder="1" applyAlignment="1">
      <alignment horizontal="left" vertical="center"/>
    </xf>
    <xf numFmtId="4" fontId="23" fillId="0" borderId="15" xfId="0" applyNumberFormat="1" applyFont="1" applyBorder="1" applyAlignment="1">
      <alignment horizontal="left" vertical="center"/>
    </xf>
    <xf numFmtId="9" fontId="23" fillId="0" borderId="18" xfId="9" applyNumberFormat="1" applyFont="1" applyBorder="1" applyAlignment="1">
      <alignment horizontal="left" vertical="center"/>
    </xf>
    <xf numFmtId="9" fontId="23" fillId="0" borderId="17" xfId="9" applyNumberFormat="1" applyFont="1" applyBorder="1" applyAlignment="1">
      <alignment horizontal="left" vertical="center"/>
    </xf>
    <xf numFmtId="4" fontId="23" fillId="0" borderId="31" xfId="0" applyNumberFormat="1" applyFont="1" applyBorder="1" applyAlignment="1">
      <alignment horizontal="left" vertical="center"/>
    </xf>
    <xf numFmtId="4" fontId="23" fillId="0" borderId="43" xfId="0" applyNumberFormat="1" applyFont="1" applyBorder="1" applyAlignment="1">
      <alignment horizontal="left" vertical="center"/>
    </xf>
    <xf numFmtId="0" fontId="23" fillId="0" borderId="28" xfId="0" applyFont="1" applyBorder="1" applyAlignment="1">
      <alignment horizontal="center" vertical="top" wrapText="1"/>
    </xf>
    <xf numFmtId="0" fontId="23" fillId="0" borderId="13" xfId="0" applyFont="1" applyBorder="1" applyAlignment="1">
      <alignment horizontal="center" vertical="center"/>
    </xf>
    <xf numFmtId="0" fontId="23" fillId="0" borderId="0" xfId="0" applyFont="1" applyBorder="1" applyAlignment="1">
      <alignment horizontal="center" vertical="center"/>
    </xf>
    <xf numFmtId="0" fontId="23" fillId="0" borderId="14" xfId="0" applyFont="1" applyBorder="1" applyAlignment="1">
      <alignment horizontal="center" vertical="center"/>
    </xf>
    <xf numFmtId="0" fontId="23" fillId="0" borderId="20" xfId="0" applyFont="1" applyFill="1" applyBorder="1" applyAlignment="1">
      <alignment horizontal="left" vertical="center"/>
    </xf>
    <xf numFmtId="0" fontId="23" fillId="0" borderId="11" xfId="0" applyFont="1" applyFill="1" applyBorder="1" applyAlignment="1">
      <alignment horizontal="left" vertical="center"/>
    </xf>
    <xf numFmtId="0" fontId="23" fillId="0" borderId="14" xfId="0" applyFont="1" applyBorder="1" applyAlignment="1">
      <alignment horizontal="left" vertical="center"/>
    </xf>
    <xf numFmtId="0" fontId="27" fillId="0" borderId="21" xfId="0" applyFont="1" applyBorder="1" applyAlignment="1">
      <alignment horizontal="left" vertical="center"/>
    </xf>
    <xf numFmtId="0" fontId="27" fillId="0" borderId="17" xfId="0" applyFont="1" applyBorder="1" applyAlignment="1">
      <alignment horizontal="left" vertical="center"/>
    </xf>
    <xf numFmtId="0" fontId="27" fillId="0" borderId="31" xfId="0" applyFont="1" applyBorder="1" applyAlignment="1" applyProtection="1">
      <alignment horizontal="left" vertical="center"/>
    </xf>
    <xf numFmtId="0" fontId="27" fillId="0" borderId="43" xfId="0" applyFont="1" applyBorder="1" applyAlignment="1" applyProtection="1">
      <alignment horizontal="left" vertical="center"/>
    </xf>
    <xf numFmtId="0" fontId="27" fillId="0" borderId="32" xfId="0" applyFont="1" applyBorder="1" applyAlignment="1" applyProtection="1">
      <alignment horizontal="left" vertical="center"/>
    </xf>
    <xf numFmtId="0" fontId="54" fillId="0" borderId="31" xfId="0" applyFont="1" applyBorder="1" applyAlignment="1" applyProtection="1">
      <alignment horizontal="center" vertical="center"/>
    </xf>
    <xf numFmtId="0" fontId="54" fillId="0" borderId="24" xfId="0" applyFont="1" applyBorder="1" applyAlignment="1" applyProtection="1">
      <alignment horizontal="center" vertical="center"/>
    </xf>
    <xf numFmtId="4" fontId="27" fillId="0" borderId="37" xfId="0" applyNumberFormat="1" applyFont="1" applyBorder="1" applyAlignment="1" applyProtection="1">
      <alignment horizontal="left" vertical="center"/>
    </xf>
    <xf numFmtId="4" fontId="27" fillId="0" borderId="38" xfId="0" applyNumberFormat="1" applyFont="1" applyBorder="1" applyAlignment="1" applyProtection="1">
      <alignment horizontal="left" vertical="center"/>
    </xf>
    <xf numFmtId="4" fontId="27" fillId="0" borderId="39" xfId="0" applyNumberFormat="1" applyFont="1" applyBorder="1" applyAlignment="1" applyProtection="1">
      <alignment horizontal="left" vertical="center"/>
    </xf>
    <xf numFmtId="0" fontId="72" fillId="4" borderId="20" xfId="0" applyFont="1" applyFill="1" applyBorder="1" applyAlignment="1" applyProtection="1">
      <alignment horizontal="left" vertical="center"/>
    </xf>
    <xf numFmtId="0" fontId="72" fillId="4" borderId="11" xfId="0" applyFont="1" applyFill="1" applyBorder="1" applyAlignment="1" applyProtection="1">
      <alignment horizontal="left" vertical="center"/>
    </xf>
    <xf numFmtId="0" fontId="96" fillId="0" borderId="20" xfId="0" applyFont="1" applyFill="1" applyBorder="1" applyAlignment="1" applyProtection="1">
      <alignment horizontal="center" vertical="center" wrapText="1"/>
    </xf>
    <xf numFmtId="0" fontId="96" fillId="0" borderId="24" xfId="0" applyFont="1" applyFill="1" applyBorder="1" applyAlignment="1" applyProtection="1">
      <alignment horizontal="center" vertical="center" wrapText="1"/>
    </xf>
    <xf numFmtId="0" fontId="96" fillId="0" borderId="13" xfId="0" applyFont="1" applyFill="1" applyBorder="1" applyAlignment="1" applyProtection="1">
      <alignment horizontal="center" vertical="center" wrapText="1"/>
    </xf>
    <xf numFmtId="0" fontId="96" fillId="0" borderId="14" xfId="0" applyFont="1" applyFill="1" applyBorder="1" applyAlignment="1" applyProtection="1">
      <alignment horizontal="center" vertical="center" wrapText="1"/>
    </xf>
    <xf numFmtId="165" fontId="23" fillId="0" borderId="20" xfId="9" applyNumberFormat="1" applyFont="1" applyFill="1" applyBorder="1" applyAlignment="1" applyProtection="1">
      <alignment horizontal="center" vertical="center"/>
    </xf>
    <xf numFmtId="165" fontId="23" fillId="0" borderId="13" xfId="9" applyNumberFormat="1" applyFont="1" applyFill="1" applyBorder="1" applyAlignment="1" applyProtection="1">
      <alignment horizontal="center" vertical="center"/>
    </xf>
    <xf numFmtId="4" fontId="23" fillId="0" borderId="40" xfId="0" applyNumberFormat="1" applyFont="1" applyBorder="1" applyAlignment="1">
      <alignment horizontal="center" vertical="center" wrapText="1"/>
    </xf>
    <xf numFmtId="0" fontId="85" fillId="0" borderId="0" xfId="0" applyFont="1" applyBorder="1" applyAlignment="1">
      <alignment horizontal="center" vertical="center" wrapText="1"/>
    </xf>
    <xf numFmtId="0" fontId="85" fillId="0" borderId="14" xfId="0" applyFont="1" applyBorder="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3" fillId="2" borderId="38" xfId="0" applyFont="1" applyFill="1" applyBorder="1" applyAlignment="1" applyProtection="1">
      <alignment horizontal="left" vertical="center"/>
      <protection locked="0"/>
    </xf>
    <xf numFmtId="0" fontId="23" fillId="2" borderId="82" xfId="0" applyFont="1" applyFill="1" applyBorder="1" applyAlignment="1" applyProtection="1">
      <alignment horizontal="left" vertical="center"/>
      <protection locked="0"/>
    </xf>
    <xf numFmtId="0" fontId="23" fillId="0" borderId="31" xfId="0" applyFont="1" applyBorder="1" applyAlignment="1">
      <alignment horizontal="left"/>
    </xf>
    <xf numFmtId="0" fontId="23" fillId="0" borderId="43" xfId="0" applyFont="1" applyBorder="1" applyAlignment="1">
      <alignment horizontal="left"/>
    </xf>
    <xf numFmtId="0" fontId="14" fillId="0" borderId="13" xfId="0" applyFont="1" applyBorder="1" applyAlignment="1">
      <alignment horizontal="right" vertical="center"/>
    </xf>
    <xf numFmtId="0" fontId="14" fillId="0" borderId="0" xfId="0" applyFont="1" applyBorder="1" applyAlignment="1">
      <alignment horizontal="right" vertical="center"/>
    </xf>
    <xf numFmtId="0" fontId="14" fillId="0" borderId="25" xfId="0" applyFont="1" applyBorder="1" applyAlignment="1">
      <alignment horizontal="right" vertical="center"/>
    </xf>
    <xf numFmtId="0" fontId="14" fillId="0" borderId="9" xfId="0" applyFont="1" applyBorder="1" applyAlignment="1">
      <alignment horizontal="right" vertical="center"/>
    </xf>
    <xf numFmtId="4" fontId="23" fillId="0" borderId="20" xfId="0" applyNumberFormat="1" applyFont="1" applyBorder="1" applyAlignment="1">
      <alignment horizontal="right" vertical="center"/>
    </xf>
    <xf numFmtId="4" fontId="23" fillId="0" borderId="11" xfId="0" applyNumberFormat="1" applyFont="1" applyBorder="1" applyAlignment="1">
      <alignment horizontal="right" vertical="center"/>
    </xf>
    <xf numFmtId="0" fontId="23" fillId="0" borderId="20" xfId="0" applyFont="1" applyBorder="1" applyAlignment="1">
      <alignment horizontal="right" vertical="center"/>
    </xf>
    <xf numFmtId="0" fontId="23" fillId="0" borderId="11" xfId="0" applyFont="1" applyBorder="1" applyAlignment="1">
      <alignment horizontal="right" vertical="center"/>
    </xf>
    <xf numFmtId="4" fontId="23" fillId="2" borderId="18" xfId="0" applyNumberFormat="1" applyFont="1" applyFill="1" applyBorder="1" applyAlignment="1" applyProtection="1">
      <alignment vertical="center"/>
      <protection locked="0"/>
    </xf>
    <xf numFmtId="4" fontId="23" fillId="2" borderId="19" xfId="0" applyNumberFormat="1" applyFont="1" applyFill="1" applyBorder="1" applyAlignment="1" applyProtection="1">
      <alignment vertical="center"/>
      <protection locked="0"/>
    </xf>
    <xf numFmtId="0" fontId="23" fillId="0" borderId="48"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23" fillId="2" borderId="31" xfId="0" applyFont="1" applyFill="1" applyBorder="1" applyAlignment="1" applyProtection="1">
      <alignment vertical="center"/>
      <protection locked="0"/>
    </xf>
    <xf numFmtId="0" fontId="23" fillId="2" borderId="32" xfId="0" applyFont="1" applyFill="1" applyBorder="1" applyAlignment="1" applyProtection="1">
      <alignment vertical="center"/>
      <protection locked="0"/>
    </xf>
    <xf numFmtId="0" fontId="23" fillId="2" borderId="18" xfId="0" applyFont="1" applyFill="1" applyBorder="1" applyAlignment="1" applyProtection="1">
      <alignment vertical="center"/>
      <protection locked="0"/>
    </xf>
    <xf numFmtId="0" fontId="23" fillId="2" borderId="22" xfId="0" applyFont="1" applyFill="1" applyBorder="1" applyAlignment="1" applyProtection="1">
      <alignment vertical="center"/>
      <protection locked="0"/>
    </xf>
    <xf numFmtId="4" fontId="27" fillId="0" borderId="16" xfId="0" applyNumberFormat="1" applyFont="1" applyBorder="1" applyAlignment="1">
      <alignment horizontal="left" vertical="top" wrapText="1"/>
    </xf>
    <xf numFmtId="4" fontId="27" fillId="0" borderId="45" xfId="0" applyNumberFormat="1" applyFont="1" applyBorder="1" applyAlignment="1">
      <alignment horizontal="left" vertical="top" wrapText="1"/>
    </xf>
    <xf numFmtId="4" fontId="27" fillId="0" borderId="25" xfId="0" applyNumberFormat="1" applyFont="1" applyBorder="1" applyAlignment="1">
      <alignment horizontal="left" vertical="top" wrapText="1"/>
    </xf>
    <xf numFmtId="4" fontId="27" fillId="0" borderId="15" xfId="0" applyNumberFormat="1" applyFont="1" applyBorder="1" applyAlignment="1">
      <alignment horizontal="left" vertical="top" wrapText="1"/>
    </xf>
    <xf numFmtId="4" fontId="23" fillId="2" borderId="21" xfId="0" applyNumberFormat="1" applyFont="1" applyFill="1" applyBorder="1" applyAlignment="1" applyProtection="1">
      <alignment vertical="center"/>
      <protection locked="0"/>
    </xf>
    <xf numFmtId="4" fontId="23" fillId="2" borderId="17" xfId="0" applyNumberFormat="1" applyFont="1" applyFill="1" applyBorder="1" applyAlignment="1" applyProtection="1">
      <alignment vertical="center"/>
      <protection locked="0"/>
    </xf>
    <xf numFmtId="4" fontId="27" fillId="0" borderId="9" xfId="0" applyNumberFormat="1" applyFont="1" applyBorder="1" applyAlignment="1">
      <alignment horizontal="left" vertical="center"/>
    </xf>
    <xf numFmtId="4" fontId="27" fillId="0" borderId="4" xfId="0" applyNumberFormat="1" applyFont="1" applyBorder="1" applyAlignment="1">
      <alignment horizontal="left" vertical="center"/>
    </xf>
    <xf numFmtId="4" fontId="23" fillId="0" borderId="48" xfId="0" applyNumberFormat="1" applyFont="1" applyBorder="1" applyAlignment="1">
      <alignment horizontal="center" vertical="center" wrapText="1"/>
    </xf>
    <xf numFmtId="4" fontId="27" fillId="0" borderId="16" xfId="0" applyNumberFormat="1" applyFont="1" applyBorder="1" applyAlignment="1">
      <alignment horizontal="center" vertical="center" wrapText="1"/>
    </xf>
    <xf numFmtId="4" fontId="27" fillId="0" borderId="13" xfId="0" applyNumberFormat="1" applyFont="1" applyBorder="1" applyAlignment="1">
      <alignment horizontal="center" vertical="center" wrapText="1"/>
    </xf>
    <xf numFmtId="4" fontId="27" fillId="0" borderId="21" xfId="0" applyNumberFormat="1" applyFont="1" applyBorder="1" applyAlignment="1">
      <alignment horizontal="center" vertical="center" wrapText="1"/>
    </xf>
    <xf numFmtId="4" fontId="23" fillId="2" borderId="22" xfId="0" applyNumberFormat="1" applyFont="1" applyFill="1" applyBorder="1" applyAlignment="1" applyProtection="1">
      <alignment vertical="center"/>
      <protection locked="0"/>
    </xf>
    <xf numFmtId="0" fontId="23" fillId="0" borderId="4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40" xfId="0" applyFont="1" applyBorder="1" applyAlignment="1">
      <alignment horizontal="center" vertical="center" wrapText="1"/>
    </xf>
    <xf numFmtId="4" fontId="27" fillId="0" borderId="25" xfId="0" applyNumberFormat="1" applyFont="1" applyBorder="1" applyAlignment="1">
      <alignment horizontal="left" vertical="center"/>
    </xf>
    <xf numFmtId="4" fontId="27" fillId="0" borderId="15" xfId="0" applyNumberFormat="1" applyFont="1" applyBorder="1" applyAlignment="1">
      <alignment horizontal="left" vertical="center"/>
    </xf>
    <xf numFmtId="4" fontId="23" fillId="0" borderId="16" xfId="0" applyNumberFormat="1" applyFont="1" applyBorder="1" applyAlignment="1">
      <alignment horizontal="center" vertical="center"/>
    </xf>
    <xf numFmtId="4" fontId="23" fillId="0" borderId="5" xfId="0" applyNumberFormat="1" applyFont="1" applyBorder="1" applyAlignment="1">
      <alignment horizontal="center" vertical="center"/>
    </xf>
    <xf numFmtId="4" fontId="23" fillId="0" borderId="13" xfId="0" applyNumberFormat="1" applyFont="1" applyBorder="1" applyAlignment="1">
      <alignment horizontal="center" vertical="center"/>
    </xf>
    <xf numFmtId="4" fontId="23" fillId="0" borderId="0" xfId="0" applyNumberFormat="1" applyFont="1" applyBorder="1" applyAlignment="1">
      <alignment horizontal="center" vertical="center"/>
    </xf>
    <xf numFmtId="4" fontId="23" fillId="0" borderId="21" xfId="0" applyNumberFormat="1" applyFont="1" applyBorder="1" applyAlignment="1">
      <alignment horizontal="center" vertical="center"/>
    </xf>
    <xf numFmtId="4" fontId="23" fillId="0" borderId="17" xfId="0" applyNumberFormat="1" applyFont="1" applyBorder="1" applyAlignment="1">
      <alignment horizontal="center" vertical="center"/>
    </xf>
    <xf numFmtId="0" fontId="23" fillId="0" borderId="28" xfId="0" applyFont="1" applyFill="1" applyBorder="1" applyAlignment="1">
      <alignment horizontal="center" vertical="center" wrapText="1"/>
    </xf>
    <xf numFmtId="4" fontId="27" fillId="0" borderId="31" xfId="0" applyNumberFormat="1" applyFont="1" applyBorder="1" applyAlignment="1">
      <alignment horizontal="left" vertical="center"/>
    </xf>
    <xf numFmtId="4" fontId="27" fillId="0" borderId="32" xfId="0" applyNumberFormat="1" applyFont="1" applyBorder="1" applyAlignment="1">
      <alignment horizontal="left" vertical="center"/>
    </xf>
    <xf numFmtId="4" fontId="27" fillId="0" borderId="37" xfId="0" applyNumberFormat="1" applyFont="1" applyBorder="1" applyAlignment="1">
      <alignment horizontal="left" vertical="center"/>
    </xf>
    <xf numFmtId="4" fontId="27" fillId="0" borderId="38" xfId="0" applyNumberFormat="1" applyFont="1" applyBorder="1" applyAlignment="1">
      <alignment horizontal="left" vertical="center"/>
    </xf>
    <xf numFmtId="49" fontId="23" fillId="2" borderId="18" xfId="0" applyNumberFormat="1" applyFont="1" applyFill="1" applyBorder="1" applyAlignment="1" applyProtection="1">
      <alignment vertical="center"/>
      <protection locked="0"/>
    </xf>
    <xf numFmtId="49" fontId="23" fillId="2" borderId="19" xfId="0" applyNumberFormat="1" applyFont="1" applyFill="1" applyBorder="1" applyAlignment="1" applyProtection="1">
      <alignment vertical="center"/>
      <protection locked="0"/>
    </xf>
    <xf numFmtId="49" fontId="23" fillId="2" borderId="22" xfId="0" applyNumberFormat="1" applyFont="1" applyFill="1" applyBorder="1" applyAlignment="1" applyProtection="1">
      <alignment vertical="center"/>
      <protection locked="0"/>
    </xf>
    <xf numFmtId="49" fontId="23" fillId="2" borderId="31" xfId="0" applyNumberFormat="1" applyFont="1" applyFill="1" applyBorder="1" applyAlignment="1" applyProtection="1">
      <alignment vertical="center"/>
      <protection locked="0"/>
    </xf>
    <xf numFmtId="49" fontId="23" fillId="2" borderId="43" xfId="0" applyNumberFormat="1" applyFont="1" applyFill="1" applyBorder="1" applyAlignment="1" applyProtection="1">
      <alignment vertical="center"/>
      <protection locked="0"/>
    </xf>
    <xf numFmtId="49" fontId="23" fillId="2" borderId="32" xfId="0" applyNumberFormat="1" applyFont="1" applyFill="1" applyBorder="1" applyAlignment="1" applyProtection="1">
      <alignment vertical="center"/>
      <protection locked="0"/>
    </xf>
    <xf numFmtId="4" fontId="23" fillId="0" borderId="21" xfId="0" applyNumberFormat="1" applyFont="1" applyBorder="1" applyAlignment="1">
      <alignment horizontal="center"/>
    </xf>
    <xf numFmtId="4" fontId="23" fillId="0" borderId="17" xfId="0" applyNumberFormat="1" applyFont="1" applyBorder="1" applyAlignment="1">
      <alignment horizontal="center"/>
    </xf>
    <xf numFmtId="4" fontId="23" fillId="2" borderId="28" xfId="0" applyNumberFormat="1" applyFont="1" applyFill="1" applyBorder="1" applyAlignment="1" applyProtection="1">
      <alignment horizontal="left" vertical="center"/>
      <protection locked="0"/>
    </xf>
    <xf numFmtId="4" fontId="27" fillId="0" borderId="0" xfId="0" applyNumberFormat="1" applyFont="1" applyBorder="1" applyAlignment="1">
      <alignment horizontal="left" vertical="top" wrapText="1"/>
    </xf>
    <xf numFmtId="4" fontId="27" fillId="0" borderId="9" xfId="0" applyNumberFormat="1" applyFont="1" applyBorder="1" applyAlignment="1">
      <alignment horizontal="left" vertical="top" wrapText="1"/>
    </xf>
    <xf numFmtId="4" fontId="23" fillId="2" borderId="30" xfId="0" applyNumberFormat="1" applyFont="1" applyFill="1" applyBorder="1" applyAlignment="1" applyProtection="1">
      <alignment horizontal="left" vertical="center"/>
      <protection locked="0"/>
    </xf>
    <xf numFmtId="49" fontId="23" fillId="2" borderId="21" xfId="0" applyNumberFormat="1" applyFont="1" applyFill="1" applyBorder="1" applyAlignment="1" applyProtection="1">
      <alignment vertical="center"/>
      <protection locked="0"/>
    </xf>
    <xf numFmtId="49" fontId="23" fillId="2" borderId="17" xfId="0" applyNumberFormat="1" applyFont="1" applyFill="1" applyBorder="1" applyAlignment="1" applyProtection="1">
      <alignment vertical="center"/>
      <protection locked="0"/>
    </xf>
    <xf numFmtId="49" fontId="23" fillId="2" borderId="23" xfId="0" applyNumberFormat="1" applyFont="1" applyFill="1" applyBorder="1" applyAlignment="1" applyProtection="1">
      <alignment vertical="center"/>
      <protection locked="0"/>
    </xf>
    <xf numFmtId="4" fontId="23" fillId="0" borderId="27" xfId="0" applyNumberFormat="1" applyFont="1" applyBorder="1" applyAlignment="1">
      <alignment horizontal="center" vertical="top" wrapText="1"/>
    </xf>
    <xf numFmtId="4" fontId="23" fillId="0" borderId="40" xfId="0" applyNumberFormat="1" applyFont="1" applyBorder="1" applyAlignment="1">
      <alignment horizontal="center" vertical="top" wrapText="1"/>
    </xf>
    <xf numFmtId="4" fontId="27" fillId="0" borderId="5" xfId="0" applyNumberFormat="1" applyFont="1" applyBorder="1" applyAlignment="1">
      <alignment horizontal="left" vertical="top" wrapText="1"/>
    </xf>
    <xf numFmtId="4" fontId="23" fillId="0" borderId="25" xfId="0" applyNumberFormat="1" applyFont="1" applyFill="1" applyBorder="1" applyAlignment="1" applyProtection="1">
      <alignment horizontal="left" vertical="center"/>
    </xf>
    <xf numFmtId="4" fontId="23" fillId="0" borderId="9" xfId="0" applyNumberFormat="1" applyFont="1" applyFill="1" applyBorder="1" applyAlignment="1" applyProtection="1">
      <alignment horizontal="left" vertical="center"/>
    </xf>
    <xf numFmtId="4" fontId="23" fillId="0" borderId="15" xfId="0" applyNumberFormat="1" applyFont="1" applyFill="1" applyBorder="1" applyAlignment="1" applyProtection="1">
      <alignment horizontal="left" vertical="center"/>
    </xf>
    <xf numFmtId="0" fontId="43" fillId="0" borderId="0" xfId="0" applyFont="1" applyBorder="1" applyAlignment="1">
      <alignment horizontal="center" vertical="center" wrapText="1"/>
    </xf>
    <xf numFmtId="0" fontId="43" fillId="0" borderId="0" xfId="0" applyFont="1" applyBorder="1" applyAlignment="1">
      <alignment vertical="center" wrapText="1"/>
    </xf>
    <xf numFmtId="0" fontId="84" fillId="0" borderId="0" xfId="0" applyFont="1" applyBorder="1" applyAlignment="1">
      <alignment horizontal="center" vertical="center" wrapText="1"/>
    </xf>
    <xf numFmtId="0" fontId="84" fillId="0" borderId="14" xfId="0" applyFont="1" applyBorder="1" applyAlignment="1">
      <alignment horizontal="center" vertical="center" wrapText="1"/>
    </xf>
    <xf numFmtId="0" fontId="43" fillId="0" borderId="14" xfId="0" applyFont="1" applyBorder="1" applyAlignment="1">
      <alignment horizontal="center" vertical="top" wrapText="1"/>
    </xf>
    <xf numFmtId="0" fontId="43" fillId="0" borderId="0" xfId="0" applyFont="1" applyFill="1" applyBorder="1" applyAlignment="1">
      <alignment horizontal="left" vertical="center" wrapText="1"/>
    </xf>
    <xf numFmtId="0" fontId="43" fillId="0" borderId="14" xfId="0" applyFont="1" applyBorder="1" applyAlignment="1">
      <alignment horizontal="center" vertical="center" wrapText="1"/>
    </xf>
    <xf numFmtId="0" fontId="43" fillId="0" borderId="0" xfId="0" applyFont="1" applyBorder="1" applyAlignment="1">
      <alignment horizontal="center" vertical="center"/>
    </xf>
    <xf numFmtId="0" fontId="43" fillId="0" borderId="14" xfId="0" applyFont="1" applyBorder="1" applyAlignment="1">
      <alignment horizontal="left" vertical="top" wrapText="1"/>
    </xf>
    <xf numFmtId="49" fontId="23" fillId="2" borderId="20" xfId="0" applyNumberFormat="1" applyFont="1" applyFill="1" applyBorder="1" applyAlignment="1" applyProtection="1">
      <alignment horizontal="left" vertical="top" wrapText="1"/>
      <protection locked="0"/>
    </xf>
    <xf numFmtId="49" fontId="23" fillId="2" borderId="24" xfId="0" applyNumberFormat="1" applyFont="1" applyFill="1" applyBorder="1" applyAlignment="1" applyProtection="1">
      <alignment horizontal="left" vertical="top" wrapText="1"/>
      <protection locked="0"/>
    </xf>
    <xf numFmtId="9" fontId="23" fillId="0" borderId="19" xfId="9" applyNumberFormat="1" applyFont="1" applyBorder="1" applyAlignment="1">
      <alignment horizontal="left"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4" fontId="23" fillId="0" borderId="0" xfId="0" applyNumberFormat="1" applyFont="1" applyBorder="1" applyAlignment="1">
      <alignment horizontal="left" vertical="center"/>
    </xf>
    <xf numFmtId="4" fontId="23" fillId="0" borderId="14" xfId="0" applyNumberFormat="1" applyFont="1" applyBorder="1" applyAlignment="1">
      <alignment horizontal="left" vertical="center"/>
    </xf>
    <xf numFmtId="0" fontId="23" fillId="0" borderId="18" xfId="0" applyFont="1" applyBorder="1" applyAlignment="1" applyProtection="1">
      <alignment horizontal="center" vertical="center"/>
      <protection locked="0"/>
    </xf>
    <xf numFmtId="0" fontId="23" fillId="0" borderId="19" xfId="0" applyFont="1" applyBorder="1" applyAlignment="1" applyProtection="1">
      <alignment horizontal="center" vertical="center"/>
      <protection locked="0"/>
    </xf>
    <xf numFmtId="0" fontId="105" fillId="0" borderId="21" xfId="0" applyFont="1" applyBorder="1" applyAlignment="1">
      <alignment horizontal="left" vertical="center"/>
    </xf>
    <xf numFmtId="0" fontId="105" fillId="0" borderId="23" xfId="0" applyFont="1" applyBorder="1" applyAlignment="1">
      <alignment horizontal="left" vertical="center"/>
    </xf>
    <xf numFmtId="167" fontId="23" fillId="0" borderId="25" xfId="0" applyNumberFormat="1" applyFont="1" applyBorder="1" applyAlignment="1">
      <alignment horizontal="left" vertical="center"/>
    </xf>
    <xf numFmtId="167" fontId="23" fillId="0" borderId="9" xfId="0" applyNumberFormat="1" applyFont="1" applyBorder="1" applyAlignment="1">
      <alignment horizontal="left" vertical="center"/>
    </xf>
    <xf numFmtId="167" fontId="23" fillId="0" borderId="15" xfId="0" applyNumberFormat="1" applyFont="1" applyBorder="1" applyAlignment="1">
      <alignment horizontal="left" vertical="center"/>
    </xf>
    <xf numFmtId="0" fontId="27" fillId="0" borderId="31" xfId="0" applyFont="1" applyBorder="1" applyAlignment="1">
      <alignment horizontal="left" vertical="center"/>
    </xf>
    <xf numFmtId="0" fontId="27" fillId="0" borderId="43" xfId="0" applyFont="1" applyBorder="1" applyAlignment="1">
      <alignment horizontal="left" vertical="center"/>
    </xf>
    <xf numFmtId="0" fontId="27" fillId="0" borderId="32" xfId="0" applyFont="1" applyBorder="1" applyAlignment="1">
      <alignment horizontal="left" vertical="center"/>
    </xf>
    <xf numFmtId="0" fontId="27" fillId="0" borderId="2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1" xfId="0" applyFont="1" applyBorder="1" applyAlignment="1">
      <alignment horizontal="left" vertical="center" wrapText="1"/>
    </xf>
    <xf numFmtId="0" fontId="27" fillId="0" borderId="17" xfId="0" applyFont="1" applyBorder="1" applyAlignment="1">
      <alignment horizontal="left" vertical="center" wrapText="1"/>
    </xf>
    <xf numFmtId="0" fontId="23" fillId="0" borderId="21" xfId="0" applyFont="1" applyBorder="1" applyAlignment="1">
      <alignment horizontal="center" vertical="center" wrapText="1"/>
    </xf>
    <xf numFmtId="0" fontId="98" fillId="0" borderId="29" xfId="0" applyFont="1" applyBorder="1" applyAlignment="1">
      <alignment horizontal="center" vertical="center" wrapText="1"/>
    </xf>
    <xf numFmtId="0" fontId="98" fillId="0" borderId="28" xfId="0" applyFont="1" applyBorder="1" applyAlignment="1">
      <alignment horizontal="center" vertical="center" wrapText="1"/>
    </xf>
    <xf numFmtId="0" fontId="23" fillId="0" borderId="22" xfId="0" applyFont="1" applyBorder="1" applyAlignment="1">
      <alignment horizontal="center" vertical="center"/>
    </xf>
    <xf numFmtId="0" fontId="77" fillId="0" borderId="18" xfId="0" applyFont="1" applyBorder="1" applyAlignment="1">
      <alignment horizontal="left" vertical="center"/>
    </xf>
    <xf numFmtId="0" fontId="77" fillId="0" borderId="19" xfId="0" applyFont="1" applyBorder="1" applyAlignment="1">
      <alignment horizontal="left" vertical="center"/>
    </xf>
    <xf numFmtId="0" fontId="77" fillId="0" borderId="22" xfId="0" applyFont="1" applyBorder="1" applyAlignment="1">
      <alignment horizontal="left" vertical="center"/>
    </xf>
    <xf numFmtId="0" fontId="23" fillId="0" borderId="18" xfId="0" applyFont="1" applyFill="1" applyBorder="1" applyAlignment="1" applyProtection="1">
      <alignment horizontal="center" vertical="center"/>
      <protection locked="0"/>
    </xf>
    <xf numFmtId="0" fontId="23" fillId="0" borderId="19" xfId="0" applyFont="1" applyFill="1" applyBorder="1" applyAlignment="1" applyProtection="1">
      <alignment horizontal="center" vertical="center"/>
      <protection locked="0"/>
    </xf>
    <xf numFmtId="0" fontId="23" fillId="2" borderId="62" xfId="0" applyFont="1" applyFill="1" applyBorder="1" applyAlignment="1" applyProtection="1">
      <alignment horizontal="left" vertical="center"/>
      <protection locked="0"/>
    </xf>
    <xf numFmtId="0" fontId="23" fillId="2" borderId="2" xfId="0" applyFont="1" applyFill="1" applyBorder="1" applyAlignment="1" applyProtection="1">
      <alignment horizontal="left" vertical="center"/>
      <protection locked="0"/>
    </xf>
    <xf numFmtId="0" fontId="23" fillId="2" borderId="63" xfId="0" applyFont="1" applyFill="1" applyBorder="1" applyAlignment="1" applyProtection="1">
      <alignment horizontal="left" vertical="center"/>
      <protection locked="0"/>
    </xf>
    <xf numFmtId="0" fontId="95" fillId="0" borderId="18" xfId="0" applyFont="1" applyBorder="1" applyAlignment="1">
      <alignment horizontal="center" vertical="center"/>
    </xf>
    <xf numFmtId="0" fontId="95" fillId="0" borderId="19" xfId="0" applyFont="1" applyBorder="1" applyAlignment="1">
      <alignment horizontal="center" vertical="center"/>
    </xf>
    <xf numFmtId="0" fontId="77" fillId="0" borderId="64" xfId="0" applyFont="1" applyBorder="1" applyAlignment="1">
      <alignment horizontal="center" vertical="center" wrapText="1"/>
    </xf>
    <xf numFmtId="0" fontId="77" fillId="0" borderId="69" xfId="0" applyFont="1" applyBorder="1" applyAlignment="1">
      <alignment horizontal="center" vertical="center" wrapText="1"/>
    </xf>
    <xf numFmtId="0" fontId="34" fillId="0" borderId="48" xfId="0" applyFont="1" applyBorder="1" applyAlignment="1">
      <alignment horizontal="center" vertical="top" wrapText="1"/>
    </xf>
    <xf numFmtId="0" fontId="34" fillId="0" borderId="40" xfId="0" applyFont="1" applyBorder="1" applyAlignment="1">
      <alignment horizontal="center" vertical="top" wrapText="1"/>
    </xf>
    <xf numFmtId="0" fontId="34" fillId="0" borderId="16" xfId="0" applyFont="1" applyBorder="1" applyAlignment="1">
      <alignment horizontal="center" vertical="top" wrapText="1"/>
    </xf>
    <xf numFmtId="0" fontId="34" fillId="0" borderId="25" xfId="0" applyFont="1" applyBorder="1" applyAlignment="1">
      <alignment horizontal="center" vertical="top" wrapText="1"/>
    </xf>
    <xf numFmtId="0" fontId="23" fillId="2" borderId="37" xfId="0" applyFont="1" applyFill="1" applyBorder="1" applyAlignment="1" applyProtection="1">
      <alignment horizontal="left" vertical="center"/>
      <protection locked="0"/>
    </xf>
    <xf numFmtId="0" fontId="23" fillId="2" borderId="39" xfId="0" applyFont="1" applyFill="1" applyBorder="1" applyAlignment="1" applyProtection="1">
      <alignment horizontal="left" vertical="center"/>
      <protection locked="0"/>
    </xf>
    <xf numFmtId="0" fontId="27" fillId="0" borderId="13" xfId="0" applyFont="1" applyBorder="1" applyAlignment="1">
      <alignment horizontal="left" vertical="center"/>
    </xf>
    <xf numFmtId="0" fontId="27" fillId="0" borderId="0" xfId="0" applyFont="1" applyBorder="1" applyAlignment="1">
      <alignment horizontal="left" vertical="center"/>
    </xf>
    <xf numFmtId="10" fontId="23" fillId="0" borderId="13" xfId="9" applyNumberFormat="1" applyFont="1" applyBorder="1" applyAlignment="1">
      <alignment horizontal="right" vertical="center"/>
    </xf>
    <xf numFmtId="4" fontId="23" fillId="0" borderId="13" xfId="0" applyNumberFormat="1" applyFont="1" applyBorder="1" applyAlignment="1">
      <alignment horizontal="left" vertical="center"/>
    </xf>
    <xf numFmtId="49" fontId="23" fillId="2" borderId="21" xfId="0" applyNumberFormat="1" applyFont="1" applyFill="1" applyBorder="1" applyAlignment="1" applyProtection="1">
      <alignment horizontal="left" vertical="top" wrapText="1"/>
      <protection locked="0"/>
    </xf>
    <xf numFmtId="49" fontId="23" fillId="2" borderId="17" xfId="0" applyNumberFormat="1" applyFont="1" applyFill="1" applyBorder="1" applyAlignment="1" applyProtection="1">
      <alignment horizontal="left" vertical="top" wrapText="1"/>
      <protection locked="0"/>
    </xf>
    <xf numFmtId="173" fontId="34" fillId="0" borderId="9" xfId="0" applyNumberFormat="1" applyFont="1" applyBorder="1" applyAlignment="1">
      <alignment horizontal="right" vertical="center"/>
    </xf>
    <xf numFmtId="4" fontId="23" fillId="0" borderId="26" xfId="0" applyNumberFormat="1" applyFont="1" applyBorder="1" applyAlignment="1" applyProtection="1">
      <alignment horizontal="center" vertical="center" wrapText="1"/>
    </xf>
    <xf numFmtId="4" fontId="23" fillId="0" borderId="30" xfId="0" applyNumberFormat="1" applyFont="1" applyBorder="1" applyAlignment="1" applyProtection="1">
      <alignment horizontal="center" vertical="center" wrapText="1"/>
    </xf>
    <xf numFmtId="4" fontId="23" fillId="2" borderId="26" xfId="0" applyNumberFormat="1" applyFont="1" applyFill="1" applyBorder="1" applyAlignment="1" applyProtection="1">
      <alignment horizontal="left" vertical="center"/>
      <protection locked="0"/>
    </xf>
    <xf numFmtId="4" fontId="23" fillId="0" borderId="16" xfId="0" applyNumberFormat="1" applyFont="1" applyFill="1" applyBorder="1" applyAlignment="1">
      <alignment horizontal="left" vertical="center"/>
    </xf>
    <xf numFmtId="4" fontId="23" fillId="0" borderId="5" xfId="0" applyNumberFormat="1" applyFont="1" applyFill="1" applyBorder="1" applyAlignment="1">
      <alignment horizontal="left" vertical="center"/>
    </xf>
    <xf numFmtId="4" fontId="23" fillId="0" borderId="45" xfId="0" applyNumberFormat="1" applyFont="1" applyFill="1" applyBorder="1" applyAlignment="1">
      <alignment horizontal="left" vertical="center"/>
    </xf>
    <xf numFmtId="4" fontId="23" fillId="0" borderId="37" xfId="0" applyNumberFormat="1" applyFont="1" applyBorder="1" applyAlignment="1">
      <alignment horizontal="left" vertical="center"/>
    </xf>
    <xf numFmtId="4" fontId="23" fillId="0" borderId="38" xfId="0" applyNumberFormat="1" applyFont="1" applyBorder="1" applyAlignment="1">
      <alignment horizontal="left" vertical="center"/>
    </xf>
    <xf numFmtId="4" fontId="23" fillId="0" borderId="29" xfId="0" applyNumberFormat="1" applyFont="1" applyBorder="1" applyAlignment="1" applyProtection="1">
      <alignment horizontal="center" vertical="center" wrapText="1"/>
    </xf>
    <xf numFmtId="4" fontId="23" fillId="0" borderId="27" xfId="0" applyNumberFormat="1" applyFont="1" applyBorder="1" applyAlignment="1" applyProtection="1">
      <alignment horizontal="center" vertical="center" wrapText="1"/>
    </xf>
    <xf numFmtId="4" fontId="23" fillId="0" borderId="40" xfId="0" applyNumberFormat="1" applyFont="1" applyBorder="1" applyAlignment="1" applyProtection="1">
      <alignment horizontal="center" vertical="center" wrapText="1"/>
    </xf>
    <xf numFmtId="4" fontId="23" fillId="0" borderId="26" xfId="0" applyNumberFormat="1" applyFont="1" applyBorder="1" applyAlignment="1" applyProtection="1">
      <alignment horizontal="center"/>
    </xf>
    <xf numFmtId="4" fontId="23" fillId="0" borderId="18" xfId="0" applyNumberFormat="1" applyFont="1" applyBorder="1" applyAlignment="1" applyProtection="1">
      <alignment horizontal="center"/>
    </xf>
    <xf numFmtId="4" fontId="23" fillId="0" borderId="18" xfId="0" applyNumberFormat="1" applyFont="1" applyBorder="1" applyAlignment="1" applyProtection="1">
      <alignment horizontal="center" vertical="center" wrapText="1"/>
    </xf>
    <xf numFmtId="4" fontId="23" fillId="0" borderId="31" xfId="0" applyNumberFormat="1" applyFont="1" applyBorder="1" applyAlignment="1" applyProtection="1">
      <alignment horizontal="center" vertical="center" wrapText="1"/>
    </xf>
    <xf numFmtId="4" fontId="27" fillId="0" borderId="26" xfId="0" applyNumberFormat="1" applyFont="1" applyBorder="1" applyAlignment="1" applyProtection="1">
      <alignment horizontal="left" vertical="top" wrapText="1"/>
    </xf>
    <xf numFmtId="4" fontId="27" fillId="0" borderId="30" xfId="0" applyNumberFormat="1" applyFont="1" applyBorder="1" applyAlignment="1" applyProtection="1">
      <alignment horizontal="left" vertical="top" wrapText="1"/>
    </xf>
    <xf numFmtId="4" fontId="23" fillId="2" borderId="20" xfId="0" applyNumberFormat="1" applyFont="1" applyFill="1" applyBorder="1" applyAlignment="1" applyProtection="1">
      <alignment horizontal="left" vertical="top" wrapText="1"/>
      <protection locked="0"/>
    </xf>
    <xf numFmtId="4" fontId="23" fillId="2" borderId="24" xfId="0" applyNumberFormat="1" applyFont="1" applyFill="1" applyBorder="1" applyAlignment="1" applyProtection="1">
      <alignment horizontal="left" vertical="top" wrapText="1"/>
      <protection locked="0"/>
    </xf>
    <xf numFmtId="0" fontId="34" fillId="0" borderId="21" xfId="0" applyFont="1" applyBorder="1" applyAlignment="1">
      <alignment horizontal="center" vertical="center"/>
    </xf>
    <xf numFmtId="0" fontId="34" fillId="0" borderId="23" xfId="0" applyFont="1" applyBorder="1" applyAlignment="1">
      <alignment horizontal="center" vertical="center"/>
    </xf>
    <xf numFmtId="0" fontId="27" fillId="0" borderId="23" xfId="0" applyFont="1" applyBorder="1" applyAlignment="1">
      <alignment horizontal="left" vertical="center"/>
    </xf>
    <xf numFmtId="4" fontId="23" fillId="5" borderId="29" xfId="0" applyNumberFormat="1" applyFont="1" applyFill="1" applyBorder="1" applyAlignment="1">
      <alignment horizontal="center" vertical="center"/>
    </xf>
    <xf numFmtId="4" fontId="23" fillId="5" borderId="40" xfId="0" applyNumberFormat="1" applyFont="1" applyFill="1" applyBorder="1" applyAlignment="1">
      <alignment horizontal="center" vertical="center"/>
    </xf>
    <xf numFmtId="4" fontId="23" fillId="0" borderId="33" xfId="0" applyNumberFormat="1" applyFont="1" applyFill="1" applyBorder="1" applyAlignment="1">
      <alignment horizontal="left" vertical="center"/>
    </xf>
    <xf numFmtId="4" fontId="23" fillId="0" borderId="8" xfId="0" applyNumberFormat="1" applyFont="1" applyFill="1" applyBorder="1" applyAlignment="1">
      <alignment horizontal="left" vertical="center"/>
    </xf>
    <xf numFmtId="4" fontId="39" fillId="0" borderId="0" xfId="0" applyNumberFormat="1" applyFont="1" applyBorder="1" applyAlignment="1">
      <alignment horizontal="right" vertical="center"/>
    </xf>
    <xf numFmtId="4" fontId="39" fillId="0" borderId="14" xfId="0" applyNumberFormat="1" applyFont="1" applyBorder="1" applyAlignment="1">
      <alignment horizontal="right" vertical="center"/>
    </xf>
    <xf numFmtId="0" fontId="34" fillId="0" borderId="31" xfId="0" applyFont="1" applyBorder="1" applyAlignment="1">
      <alignment horizontal="left" vertical="center"/>
    </xf>
    <xf numFmtId="0" fontId="34" fillId="0" borderId="43" xfId="0" applyFont="1" applyBorder="1" applyAlignment="1">
      <alignment horizontal="left" vertical="center"/>
    </xf>
    <xf numFmtId="178" fontId="23" fillId="0" borderId="13" xfId="0" applyNumberFormat="1" applyFont="1" applyBorder="1" applyAlignment="1">
      <alignment horizontal="left" vertical="center"/>
    </xf>
    <xf numFmtId="178" fontId="23" fillId="0" borderId="0" xfId="0" applyNumberFormat="1" applyFont="1" applyBorder="1" applyAlignment="1">
      <alignment horizontal="left" vertical="center"/>
    </xf>
    <xf numFmtId="178" fontId="23" fillId="0" borderId="14" xfId="0" applyNumberFormat="1" applyFont="1" applyBorder="1" applyAlignment="1">
      <alignment horizontal="left" vertical="center"/>
    </xf>
    <xf numFmtId="190" fontId="23" fillId="2" borderId="21" xfId="0" applyNumberFormat="1" applyFont="1" applyFill="1" applyBorder="1" applyAlignment="1" applyProtection="1">
      <alignment horizontal="left" vertical="center"/>
      <protection locked="0"/>
    </xf>
    <xf numFmtId="190" fontId="23" fillId="2" borderId="23" xfId="0" applyNumberFormat="1" applyFont="1" applyFill="1" applyBorder="1" applyAlignment="1" applyProtection="1">
      <alignment horizontal="left" vertical="center"/>
      <protection locked="0"/>
    </xf>
    <xf numFmtId="0" fontId="27" fillId="0" borderId="25" xfId="0" applyFont="1" applyFill="1" applyBorder="1" applyAlignment="1" applyProtection="1">
      <alignment horizontal="left" vertical="center"/>
    </xf>
    <xf numFmtId="0" fontId="23" fillId="0" borderId="15" xfId="0" applyFont="1" applyFill="1" applyBorder="1" applyAlignment="1" applyProtection="1">
      <alignment horizontal="left" vertical="center"/>
    </xf>
    <xf numFmtId="0" fontId="23" fillId="0" borderId="33" xfId="0" applyFont="1" applyFill="1" applyBorder="1" applyAlignment="1">
      <alignment horizontal="left" vertical="center"/>
    </xf>
    <xf numFmtId="0" fontId="23" fillId="0" borderId="8" xfId="0" applyFont="1" applyFill="1" applyBorder="1" applyAlignment="1">
      <alignment horizontal="left" vertical="center"/>
    </xf>
    <xf numFmtId="4" fontId="23" fillId="2" borderId="21" xfId="0" applyNumberFormat="1" applyFont="1" applyFill="1" applyBorder="1" applyAlignment="1" applyProtection="1">
      <alignment horizontal="left" vertical="center"/>
      <protection locked="0"/>
    </xf>
    <xf numFmtId="4" fontId="23" fillId="2" borderId="23" xfId="0" applyNumberFormat="1" applyFont="1" applyFill="1" applyBorder="1" applyAlignment="1" applyProtection="1">
      <alignment horizontal="left" vertical="center"/>
      <protection locked="0"/>
    </xf>
    <xf numFmtId="0" fontId="27" fillId="0" borderId="25" xfId="0" applyFont="1" applyBorder="1" applyAlignment="1" applyProtection="1">
      <alignment vertical="center" wrapText="1"/>
    </xf>
    <xf numFmtId="0" fontId="27" fillId="0" borderId="9" xfId="0" applyFont="1" applyBorder="1" applyAlignment="1" applyProtection="1">
      <alignment vertical="center" wrapText="1"/>
    </xf>
    <xf numFmtId="0" fontId="27" fillId="0" borderId="15" xfId="0" applyFont="1" applyBorder="1" applyAlignment="1" applyProtection="1">
      <alignment vertical="center" wrapText="1"/>
    </xf>
    <xf numFmtId="167" fontId="23" fillId="0" borderId="9" xfId="0" applyNumberFormat="1" applyFont="1" applyBorder="1" applyAlignment="1">
      <alignment horizontal="right" vertical="center"/>
    </xf>
    <xf numFmtId="0" fontId="23" fillId="0" borderId="40" xfId="0" applyFont="1" applyBorder="1" applyAlignment="1" applyProtection="1">
      <alignment horizontal="center" vertical="top" wrapText="1"/>
    </xf>
    <xf numFmtId="0" fontId="15" fillId="6" borderId="17" xfId="0" applyFont="1" applyFill="1" applyBorder="1" applyAlignment="1">
      <alignment horizontal="left" vertical="center"/>
    </xf>
    <xf numFmtId="0" fontId="15" fillId="6" borderId="23" xfId="0" applyFont="1" applyFill="1" applyBorder="1" applyAlignment="1">
      <alignment horizontal="left" vertical="center"/>
    </xf>
    <xf numFmtId="0" fontId="23" fillId="0" borderId="20" xfId="0" applyFont="1" applyFill="1" applyBorder="1" applyAlignment="1" applyProtection="1">
      <alignment horizontal="center" vertical="center" wrapText="1"/>
    </xf>
    <xf numFmtId="0" fontId="23" fillId="0" borderId="11" xfId="0" applyFont="1" applyFill="1" applyBorder="1" applyAlignment="1" applyProtection="1">
      <alignment horizontal="center" vertical="center" wrapText="1"/>
    </xf>
    <xf numFmtId="0" fontId="23" fillId="0" borderId="24"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21"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23" fillId="0" borderId="19" xfId="0" applyFont="1" applyFill="1" applyBorder="1" applyAlignment="1" applyProtection="1">
      <alignment horizontal="center" vertical="center"/>
    </xf>
    <xf numFmtId="0" fontId="23" fillId="0" borderId="22" xfId="0" applyFont="1" applyFill="1" applyBorder="1" applyAlignment="1" applyProtection="1">
      <alignment horizontal="center" vertical="center"/>
    </xf>
    <xf numFmtId="0" fontId="96" fillId="0" borderId="18" xfId="0" applyFont="1" applyFill="1" applyBorder="1" applyAlignment="1">
      <alignment horizontal="center" vertical="center"/>
    </xf>
    <xf numFmtId="0" fontId="96" fillId="0" borderId="22" xfId="0" applyFont="1" applyFill="1" applyBorder="1" applyAlignment="1">
      <alignment horizontal="center" vertical="center"/>
    </xf>
    <xf numFmtId="0" fontId="27" fillId="0" borderId="26" xfId="0" applyFont="1" applyBorder="1" applyAlignment="1">
      <alignment horizontal="left" vertical="center"/>
    </xf>
    <xf numFmtId="0" fontId="23" fillId="0" borderId="14" xfId="0" applyFont="1" applyFill="1" applyBorder="1" applyAlignment="1" applyProtection="1">
      <alignment horizontal="left" vertical="center"/>
    </xf>
    <xf numFmtId="0" fontId="54" fillId="0" borderId="18" xfId="0" applyFont="1" applyFill="1" applyBorder="1" applyAlignment="1">
      <alignment horizontal="center" vertical="center"/>
    </xf>
    <xf numFmtId="0" fontId="54" fillId="0" borderId="22" xfId="0" applyFont="1" applyFill="1" applyBorder="1" applyAlignment="1">
      <alignment horizontal="center" vertical="center"/>
    </xf>
    <xf numFmtId="0" fontId="133" fillId="8" borderId="21" xfId="0" applyFont="1" applyFill="1" applyBorder="1" applyAlignment="1">
      <alignment horizontal="center"/>
    </xf>
    <xf numFmtId="0" fontId="133" fillId="8" borderId="17" xfId="0" applyFont="1" applyFill="1" applyBorder="1" applyAlignment="1">
      <alignment horizontal="center"/>
    </xf>
    <xf numFmtId="0" fontId="23" fillId="0" borderId="17" xfId="0" applyFont="1" applyFill="1" applyBorder="1" applyAlignment="1" applyProtection="1">
      <alignment horizontal="center" vertical="center"/>
    </xf>
    <xf numFmtId="0" fontId="23" fillId="0" borderId="23" xfId="0" applyFont="1" applyFill="1" applyBorder="1" applyAlignment="1" applyProtection="1">
      <alignment horizontal="center" vertical="center"/>
    </xf>
    <xf numFmtId="0" fontId="133" fillId="19" borderId="18" xfId="0" applyFont="1" applyFill="1" applyBorder="1" applyAlignment="1">
      <alignment horizontal="center"/>
    </xf>
    <xf numFmtId="0" fontId="133" fillId="19" borderId="19" xfId="0" applyFont="1" applyFill="1" applyBorder="1" applyAlignment="1">
      <alignment horizontal="center"/>
    </xf>
    <xf numFmtId="0" fontId="133" fillId="19" borderId="22" xfId="0" applyFont="1" applyFill="1" applyBorder="1" applyAlignment="1">
      <alignment horizontal="center"/>
    </xf>
    <xf numFmtId="0" fontId="87" fillId="8" borderId="19" xfId="0" applyFont="1" applyFill="1" applyBorder="1" applyAlignment="1">
      <alignment horizontal="left" vertical="center"/>
    </xf>
    <xf numFmtId="0" fontId="87" fillId="8" borderId="22" xfId="0" applyFont="1" applyFill="1" applyBorder="1" applyAlignment="1">
      <alignment horizontal="left" vertical="center"/>
    </xf>
    <xf numFmtId="0" fontId="34" fillId="0" borderId="11"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23" xfId="0" applyFont="1" applyBorder="1" applyAlignment="1">
      <alignment horizontal="center" vertical="center" wrapText="1"/>
    </xf>
    <xf numFmtId="0" fontId="131" fillId="25" borderId="26" xfId="20" applyFont="1" applyFill="1" applyBorder="1" applyAlignment="1" applyProtection="1">
      <alignment horizontal="left" vertical="top"/>
    </xf>
    <xf numFmtId="0" fontId="58" fillId="4" borderId="19" xfId="20" applyFont="1" applyFill="1" applyBorder="1" applyAlignment="1" applyProtection="1">
      <alignment horizontal="center" vertical="center"/>
      <protection locked="0" hidden="1"/>
    </xf>
    <xf numFmtId="0" fontId="58" fillId="4" borderId="22" xfId="20" applyFont="1" applyFill="1" applyBorder="1" applyAlignment="1" applyProtection="1">
      <alignment horizontal="center" vertical="center"/>
      <protection locked="0" hidden="1"/>
    </xf>
    <xf numFmtId="0" fontId="15" fillId="6" borderId="19" xfId="0" applyFont="1" applyFill="1" applyBorder="1" applyAlignment="1">
      <alignment horizontal="left" vertical="center"/>
    </xf>
    <xf numFmtId="0" fontId="106" fillId="0" borderId="13" xfId="0" applyFont="1" applyFill="1" applyBorder="1" applyAlignment="1">
      <alignment horizontal="center" vertical="top" wrapText="1"/>
    </xf>
    <xf numFmtId="0" fontId="106" fillId="0" borderId="14" xfId="0" applyFont="1" applyFill="1" applyBorder="1" applyAlignment="1">
      <alignment horizontal="center" vertical="top" wrapText="1"/>
    </xf>
    <xf numFmtId="0" fontId="106" fillId="0" borderId="21" xfId="0" applyFont="1" applyFill="1" applyBorder="1" applyAlignment="1">
      <alignment horizontal="center" vertical="top" wrapText="1"/>
    </xf>
    <xf numFmtId="0" fontId="106" fillId="0" borderId="23" xfId="0" applyFont="1" applyFill="1" applyBorder="1" applyAlignment="1">
      <alignment horizontal="center" vertical="top" wrapText="1"/>
    </xf>
    <xf numFmtId="0" fontId="27" fillId="0" borderId="21" xfId="0" applyFont="1" applyFill="1" applyBorder="1" applyAlignment="1">
      <alignment horizontal="left" vertical="center"/>
    </xf>
    <xf numFmtId="0" fontId="27" fillId="0" borderId="17" xfId="0" applyFont="1" applyFill="1" applyBorder="1" applyAlignment="1">
      <alignment horizontal="left" vertical="center"/>
    </xf>
    <xf numFmtId="4" fontId="23" fillId="0" borderId="13" xfId="0" applyNumberFormat="1" applyFont="1" applyBorder="1" applyAlignment="1">
      <alignment horizontal="left" vertical="top" wrapText="1"/>
    </xf>
    <xf numFmtId="4" fontId="23" fillId="0" borderId="14" xfId="0" applyNumberFormat="1" applyFont="1" applyBorder="1" applyAlignment="1">
      <alignment horizontal="left" vertical="top" wrapText="1"/>
    </xf>
    <xf numFmtId="4" fontId="23" fillId="0" borderId="25" xfId="0" applyNumberFormat="1" applyFont="1" applyBorder="1" applyAlignment="1">
      <alignment horizontal="left" vertical="top" wrapText="1"/>
    </xf>
    <xf numFmtId="4" fontId="23" fillId="0" borderId="15" xfId="0" applyNumberFormat="1" applyFont="1" applyBorder="1" applyAlignment="1">
      <alignment horizontal="left" vertical="top" wrapText="1"/>
    </xf>
    <xf numFmtId="4" fontId="23" fillId="5" borderId="14" xfId="0" applyNumberFormat="1" applyFont="1" applyFill="1" applyBorder="1" applyAlignment="1">
      <alignment horizontal="center" vertical="center"/>
    </xf>
    <xf numFmtId="0" fontId="72" fillId="6" borderId="18" xfId="0" applyFont="1" applyFill="1" applyBorder="1" applyAlignment="1">
      <alignment horizontal="center" vertical="center"/>
    </xf>
    <xf numFmtId="0" fontId="72" fillId="6" borderId="19" xfId="0" applyFont="1" applyFill="1" applyBorder="1" applyAlignment="1">
      <alignment horizontal="center" vertical="center"/>
    </xf>
    <xf numFmtId="0" fontId="133" fillId="20" borderId="18" xfId="0" applyFont="1" applyFill="1" applyBorder="1" applyAlignment="1">
      <alignment horizontal="center"/>
    </xf>
    <xf numFmtId="0" fontId="133" fillId="20" borderId="19" xfId="0" applyFont="1" applyFill="1" applyBorder="1" applyAlignment="1">
      <alignment horizontal="center"/>
    </xf>
    <xf numFmtId="0" fontId="133" fillId="20" borderId="22" xfId="0" applyFont="1" applyFill="1" applyBorder="1" applyAlignment="1">
      <alignment horizontal="center"/>
    </xf>
    <xf numFmtId="0" fontId="27" fillId="0" borderId="18" xfId="0" applyFont="1" applyFill="1" applyBorder="1" applyAlignment="1">
      <alignment horizontal="left" vertical="center"/>
    </xf>
    <xf numFmtId="0" fontId="27" fillId="0" borderId="19" xfId="0" applyFont="1" applyFill="1" applyBorder="1" applyAlignment="1">
      <alignment horizontal="left" vertical="center"/>
    </xf>
    <xf numFmtId="0" fontId="27" fillId="0" borderId="22" xfId="0" applyFont="1" applyFill="1" applyBorder="1" applyAlignment="1">
      <alignment horizontal="left" vertical="center"/>
    </xf>
    <xf numFmtId="4" fontId="23" fillId="0" borderId="35" xfId="0" applyNumberFormat="1" applyFont="1" applyFill="1" applyBorder="1" applyAlignment="1">
      <alignment horizontal="left" vertical="center"/>
    </xf>
    <xf numFmtId="0" fontId="23" fillId="0" borderId="20" xfId="0" applyFont="1" applyBorder="1" applyAlignment="1">
      <alignment horizontal="left"/>
    </xf>
    <xf numFmtId="0" fontId="23" fillId="0" borderId="11" xfId="0" applyFont="1" applyBorder="1" applyAlignment="1">
      <alignment horizontal="left"/>
    </xf>
    <xf numFmtId="0" fontId="23" fillId="2" borderId="19" xfId="0" applyFont="1" applyFill="1" applyBorder="1" applyAlignment="1" applyProtection="1">
      <alignment vertical="center"/>
      <protection locked="0"/>
    </xf>
    <xf numFmtId="4" fontId="27" fillId="0" borderId="20" xfId="0" applyNumberFormat="1" applyFont="1" applyBorder="1" applyAlignment="1">
      <alignment horizontal="left" vertical="center" wrapText="1"/>
    </xf>
    <xf numFmtId="4" fontId="27" fillId="0" borderId="24" xfId="0" applyNumberFormat="1" applyFont="1" applyBorder="1" applyAlignment="1">
      <alignment horizontal="left" vertical="center" wrapText="1"/>
    </xf>
    <xf numFmtId="4" fontId="23" fillId="2" borderId="31" xfId="0" applyNumberFormat="1" applyFont="1" applyFill="1" applyBorder="1" applyAlignment="1" applyProtection="1">
      <alignment horizontal="left" vertical="center"/>
      <protection locked="0"/>
    </xf>
    <xf numFmtId="4" fontId="23" fillId="2" borderId="32" xfId="0" applyNumberFormat="1" applyFont="1" applyFill="1" applyBorder="1" applyAlignment="1" applyProtection="1">
      <alignment horizontal="left" vertical="center"/>
      <protection locked="0"/>
    </xf>
    <xf numFmtId="4" fontId="27" fillId="0" borderId="13" xfId="0" applyNumberFormat="1" applyFont="1" applyBorder="1" applyAlignment="1">
      <alignment horizontal="right" vertical="center"/>
    </xf>
    <xf numFmtId="4" fontId="27" fillId="0" borderId="14" xfId="0" applyNumberFormat="1" applyFont="1" applyBorder="1" applyAlignment="1">
      <alignment horizontal="right" vertical="center"/>
    </xf>
    <xf numFmtId="0" fontId="23" fillId="0" borderId="16" xfId="0" applyFont="1" applyBorder="1" applyAlignment="1">
      <alignment horizontal="left" vertical="center"/>
    </xf>
    <xf numFmtId="0" fontId="23" fillId="0" borderId="5" xfId="0" applyFont="1" applyBorder="1" applyAlignment="1">
      <alignment horizontal="left" vertical="center"/>
    </xf>
    <xf numFmtId="0" fontId="34" fillId="0" borderId="38" xfId="0" applyFont="1" applyBorder="1" applyAlignment="1">
      <alignment horizontal="right" vertical="center"/>
    </xf>
    <xf numFmtId="4" fontId="23" fillId="2" borderId="18" xfId="0" applyNumberFormat="1" applyFont="1" applyFill="1" applyBorder="1" applyAlignment="1" applyProtection="1">
      <alignment horizontal="left" vertical="center"/>
      <protection locked="0"/>
    </xf>
    <xf numFmtId="4" fontId="23" fillId="2" borderId="22" xfId="0" applyNumberFormat="1" applyFont="1" applyFill="1" applyBorder="1" applyAlignment="1" applyProtection="1">
      <alignment horizontal="left" vertical="center"/>
      <protection locked="0"/>
    </xf>
    <xf numFmtId="0" fontId="23" fillId="0" borderId="15" xfId="0" applyFont="1" applyBorder="1" applyAlignment="1">
      <alignment horizontal="left" vertical="center"/>
    </xf>
    <xf numFmtId="4" fontId="23" fillId="0" borderId="21" xfId="0" applyNumberFormat="1" applyFont="1" applyBorder="1" applyAlignment="1">
      <alignment horizontal="left" vertical="center"/>
    </xf>
    <xf numFmtId="4" fontId="23" fillId="0" borderId="17" xfId="0" applyNumberFormat="1" applyFont="1" applyBorder="1" applyAlignment="1">
      <alignment horizontal="left" vertical="center"/>
    </xf>
    <xf numFmtId="4" fontId="23" fillId="0" borderId="23" xfId="0" applyNumberFormat="1" applyFont="1" applyBorder="1" applyAlignment="1">
      <alignment horizontal="left" vertical="center"/>
    </xf>
    <xf numFmtId="0" fontId="27" fillId="4" borderId="16" xfId="0" applyFont="1" applyFill="1" applyBorder="1" applyAlignment="1">
      <alignment horizontal="left" vertical="center"/>
    </xf>
    <xf numFmtId="0" fontId="27" fillId="4" borderId="5" xfId="0" applyFont="1" applyFill="1" applyBorder="1" applyAlignment="1">
      <alignment horizontal="left" vertical="center"/>
    </xf>
    <xf numFmtId="0" fontId="27" fillId="15" borderId="16" xfId="0" applyFont="1" applyFill="1" applyBorder="1" applyAlignment="1">
      <alignment horizontal="left" vertical="center"/>
    </xf>
    <xf numFmtId="0" fontId="27" fillId="15" borderId="5" xfId="0" applyFont="1" applyFill="1" applyBorder="1" applyAlignment="1">
      <alignment horizontal="left" vertical="center"/>
    </xf>
    <xf numFmtId="0" fontId="135" fillId="8" borderId="16" xfId="0" applyFont="1" applyFill="1" applyBorder="1" applyAlignment="1">
      <alignment horizontal="left" vertical="center"/>
    </xf>
    <xf numFmtId="0" fontId="135" fillId="8" borderId="5" xfId="0" applyFont="1" applyFill="1" applyBorder="1" applyAlignment="1">
      <alignment horizontal="left" vertical="center"/>
    </xf>
    <xf numFmtId="0" fontId="58" fillId="0" borderId="0" xfId="20" applyFont="1" applyBorder="1" applyAlignment="1">
      <alignment horizontal="center" vertical="center"/>
    </xf>
    <xf numFmtId="191" fontId="23" fillId="0" borderId="14" xfId="0" applyNumberFormat="1" applyFont="1" applyBorder="1" applyAlignment="1">
      <alignment horizontal="right"/>
    </xf>
    <xf numFmtId="191" fontId="23" fillId="0" borderId="23" xfId="0" applyNumberFormat="1" applyFont="1" applyBorder="1" applyAlignment="1">
      <alignment horizontal="right"/>
    </xf>
    <xf numFmtId="191" fontId="27" fillId="0" borderId="22" xfId="0" applyNumberFormat="1" applyFont="1" applyBorder="1" applyAlignment="1">
      <alignment horizontal="right"/>
    </xf>
    <xf numFmtId="0" fontId="20" fillId="0" borderId="0" xfId="0" applyFont="1" applyBorder="1" applyAlignment="1">
      <alignment horizontal="left" vertical="top" wrapText="1"/>
    </xf>
    <xf numFmtId="0" fontId="20" fillId="0" borderId="14" xfId="0" applyFont="1" applyBorder="1" applyAlignment="1">
      <alignment horizontal="left" vertical="top" wrapText="1"/>
    </xf>
    <xf numFmtId="0" fontId="14" fillId="2" borderId="20" xfId="0" applyFont="1" applyFill="1" applyBorder="1" applyAlignment="1" applyProtection="1">
      <alignment horizontal="left" vertical="top" wrapText="1"/>
      <protection locked="0"/>
    </xf>
    <xf numFmtId="0" fontId="14" fillId="2" borderId="11" xfId="0" applyFont="1" applyFill="1" applyBorder="1" applyAlignment="1" applyProtection="1">
      <alignment horizontal="left" vertical="top" wrapText="1"/>
      <protection locked="0"/>
    </xf>
    <xf numFmtId="0" fontId="14" fillId="2" borderId="24"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2" borderId="0" xfId="0" applyFont="1" applyFill="1" applyBorder="1" applyAlignment="1" applyProtection="1">
      <alignment horizontal="left" vertical="top" wrapText="1"/>
      <protection locked="0"/>
    </xf>
    <xf numFmtId="0" fontId="14" fillId="2" borderId="14" xfId="0" applyFont="1" applyFill="1" applyBorder="1" applyAlignment="1" applyProtection="1">
      <alignment horizontal="left" vertical="top" wrapText="1"/>
      <protection locked="0"/>
    </xf>
    <xf numFmtId="0" fontId="14" fillId="2" borderId="21" xfId="0" applyFont="1" applyFill="1" applyBorder="1" applyAlignment="1" applyProtection="1">
      <alignment horizontal="left" vertical="top" wrapText="1"/>
      <protection locked="0"/>
    </xf>
    <xf numFmtId="0" fontId="14" fillId="2" borderId="17"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25" fillId="0" borderId="18" xfId="0" applyFont="1" applyBorder="1" applyAlignment="1">
      <alignment horizontal="center" vertical="top" wrapText="1"/>
    </xf>
    <xf numFmtId="0" fontId="25" fillId="0" borderId="19" xfId="0" applyFont="1" applyBorder="1" applyAlignment="1">
      <alignment horizontal="center" vertical="top" wrapText="1"/>
    </xf>
    <xf numFmtId="0" fontId="25" fillId="0" borderId="22" xfId="0" applyFont="1" applyBorder="1" applyAlignment="1">
      <alignment horizontal="center" vertical="top" wrapText="1"/>
    </xf>
    <xf numFmtId="0" fontId="90" fillId="21" borderId="18" xfId="0" applyFont="1" applyFill="1" applyBorder="1" applyAlignment="1">
      <alignment horizontal="center" vertical="top" wrapText="1"/>
    </xf>
    <xf numFmtId="0" fontId="90" fillId="21" borderId="22" xfId="0" applyFont="1" applyFill="1" applyBorder="1" applyAlignment="1">
      <alignment horizontal="center" vertical="top" wrapText="1"/>
    </xf>
    <xf numFmtId="0" fontId="90" fillId="6" borderId="18" xfId="0" applyFont="1" applyFill="1" applyBorder="1" applyAlignment="1">
      <alignment horizontal="center" vertical="top" wrapText="1"/>
    </xf>
    <xf numFmtId="0" fontId="90" fillId="6" borderId="22" xfId="0" applyFont="1" applyFill="1" applyBorder="1" applyAlignment="1">
      <alignment horizontal="center" vertical="top" wrapText="1"/>
    </xf>
    <xf numFmtId="44" fontId="23" fillId="0" borderId="19" xfId="15" applyFont="1" applyBorder="1" applyAlignment="1">
      <alignment horizontal="center" vertical="top" wrapText="1"/>
    </xf>
    <xf numFmtId="44" fontId="20" fillId="0" borderId="29" xfId="0" applyNumberFormat="1" applyFont="1" applyBorder="1" applyAlignment="1">
      <alignment horizontal="center" vertical="top" wrapText="1"/>
    </xf>
    <xf numFmtId="44" fontId="20" fillId="0" borderId="27" xfId="0" applyNumberFormat="1" applyFont="1" applyBorder="1" applyAlignment="1">
      <alignment horizontal="center" vertical="top" wrapText="1"/>
    </xf>
    <xf numFmtId="44" fontId="20" fillId="0" borderId="28" xfId="0" applyNumberFormat="1" applyFont="1" applyBorder="1" applyAlignment="1">
      <alignment horizontal="center" vertical="top" wrapText="1"/>
    </xf>
    <xf numFmtId="44" fontId="20" fillId="0" borderId="24" xfId="0" applyNumberFormat="1" applyFont="1" applyBorder="1" applyAlignment="1">
      <alignment horizontal="center" vertical="top" wrapText="1"/>
    </xf>
    <xf numFmtId="44" fontId="20" fillId="0" borderId="14" xfId="0" applyNumberFormat="1" applyFont="1" applyBorder="1" applyAlignment="1">
      <alignment horizontal="center" vertical="top" wrapText="1"/>
    </xf>
    <xf numFmtId="44" fontId="20" fillId="0" borderId="23" xfId="0" applyNumberFormat="1" applyFont="1" applyBorder="1" applyAlignment="1">
      <alignment horizontal="center" vertical="top" wrapText="1"/>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13" fillId="0" borderId="30" xfId="0" applyFont="1" applyBorder="1" applyAlignment="1">
      <alignment horizontal="center" vertical="center"/>
    </xf>
    <xf numFmtId="2" fontId="47" fillId="2" borderId="28" xfId="0" applyNumberFormat="1" applyFont="1" applyFill="1" applyBorder="1" applyAlignment="1" applyProtection="1">
      <alignment horizontal="left" vertical="center" wrapText="1"/>
      <protection locked="0"/>
    </xf>
    <xf numFmtId="0" fontId="47" fillId="0" borderId="20" xfId="0" applyFont="1" applyBorder="1" applyAlignment="1">
      <alignment horizontal="left" vertical="center"/>
    </xf>
    <xf numFmtId="0" fontId="47" fillId="0" borderId="11" xfId="0" applyFont="1" applyBorder="1" applyAlignment="1">
      <alignment horizontal="left" vertical="center"/>
    </xf>
    <xf numFmtId="0" fontId="47" fillId="0" borderId="24" xfId="0" applyFont="1" applyBorder="1" applyAlignment="1">
      <alignment horizontal="left" vertical="center"/>
    </xf>
    <xf numFmtId="0" fontId="47" fillId="0" borderId="13" xfId="0" applyFont="1" applyBorder="1" applyAlignment="1">
      <alignment horizontal="left" vertical="center"/>
    </xf>
    <xf numFmtId="0" fontId="47" fillId="0" borderId="0" xfId="0" applyFont="1" applyBorder="1" applyAlignment="1">
      <alignment horizontal="lef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47" fillId="0" borderId="9" xfId="0" applyFont="1" applyBorder="1" applyAlignment="1">
      <alignment horizontal="left" vertical="center"/>
    </xf>
    <xf numFmtId="0" fontId="47" fillId="0" borderId="15" xfId="0" applyFont="1" applyBorder="1" applyAlignment="1">
      <alignment horizontal="left" vertical="center"/>
    </xf>
    <xf numFmtId="0" fontId="113" fillId="0" borderId="13" xfId="20" applyFont="1" applyBorder="1" applyAlignment="1" applyProtection="1">
      <alignment horizontal="center" vertical="center" wrapText="1"/>
      <protection locked="0" hidden="1"/>
    </xf>
    <xf numFmtId="0" fontId="113" fillId="0" borderId="14" xfId="20" applyFont="1" applyBorder="1" applyAlignment="1" applyProtection="1">
      <alignment horizontal="center" vertical="center" wrapText="1"/>
      <protection locked="0" hidden="1"/>
    </xf>
    <xf numFmtId="0" fontId="45" fillId="0" borderId="22" xfId="0" applyFont="1" applyBorder="1" applyAlignment="1">
      <alignment horizontal="left" vertical="top" wrapText="1"/>
    </xf>
    <xf numFmtId="0" fontId="45" fillId="0" borderId="26" xfId="0" applyFont="1" applyBorder="1" applyAlignment="1">
      <alignment horizontal="left" vertical="top" wrapText="1"/>
    </xf>
    <xf numFmtId="0" fontId="45" fillId="0" borderId="29" xfId="0" applyFont="1" applyBorder="1" applyAlignment="1">
      <alignment horizontal="left" vertical="top" wrapText="1"/>
    </xf>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45" fillId="0" borderId="30" xfId="0" applyFont="1" applyBorder="1" applyAlignment="1">
      <alignment horizontal="left"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wrapText="1"/>
    </xf>
    <xf numFmtId="0" fontId="11" fillId="0" borderId="28" xfId="0" applyFont="1" applyBorder="1" applyAlignment="1">
      <alignment horizontal="center" wrapText="1"/>
    </xf>
    <xf numFmtId="0" fontId="11" fillId="0" borderId="29" xfId="0" applyFont="1" applyBorder="1" applyAlignment="1">
      <alignment horizontal="center" vertical="center" wrapText="1"/>
    </xf>
    <xf numFmtId="0" fontId="11" fillId="0" borderId="40" xfId="0" applyFont="1" applyBorder="1" applyAlignment="1">
      <alignment horizontal="center" vertical="center" wrapText="1"/>
    </xf>
    <xf numFmtId="2" fontId="10" fillId="0" borderId="47" xfId="0" applyNumberFormat="1" applyFont="1" applyFill="1" applyBorder="1" applyAlignment="1">
      <alignment horizontal="left" vertical="center" wrapText="1"/>
    </xf>
    <xf numFmtId="2" fontId="10" fillId="0" borderId="0" xfId="0" applyNumberFormat="1" applyFont="1" applyFill="1" applyBorder="1" applyAlignment="1">
      <alignment horizontal="left" vertical="center" wrapText="1"/>
    </xf>
    <xf numFmtId="2" fontId="10" fillId="0" borderId="14" xfId="0" applyNumberFormat="1" applyFont="1" applyFill="1" applyBorder="1" applyAlignment="1">
      <alignment horizontal="left" vertical="center" wrapText="1"/>
    </xf>
    <xf numFmtId="2" fontId="10" fillId="0" borderId="74" xfId="0" applyNumberFormat="1" applyFont="1" applyFill="1" applyBorder="1" applyAlignment="1">
      <alignment horizontal="left" vertical="center" wrapText="1"/>
    </xf>
    <xf numFmtId="2" fontId="10" fillId="0" borderId="19" xfId="0" applyNumberFormat="1" applyFont="1" applyFill="1" applyBorder="1" applyAlignment="1">
      <alignment horizontal="left" vertical="center" wrapText="1"/>
    </xf>
    <xf numFmtId="2" fontId="10" fillId="0" borderId="22" xfId="0" applyNumberFormat="1" applyFont="1" applyFill="1" applyBorder="1" applyAlignment="1">
      <alignment horizontal="left" vertical="center"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28" fillId="0" borderId="19" xfId="0" applyFont="1" applyBorder="1" applyAlignment="1">
      <alignment horizontal="left" vertical="top" wrapText="1"/>
    </xf>
    <xf numFmtId="0" fontId="128" fillId="0" borderId="22" xfId="0" applyFont="1" applyBorder="1" applyAlignment="1">
      <alignment horizontal="left" vertical="top" wrapText="1"/>
    </xf>
    <xf numFmtId="0" fontId="123" fillId="26" borderId="18" xfId="0" applyFont="1" applyFill="1" applyBorder="1" applyAlignment="1" applyProtection="1">
      <alignment horizontal="center" vertical="top" wrapText="1"/>
      <protection locked="0"/>
    </xf>
    <xf numFmtId="0" fontId="123" fillId="26" borderId="17" xfId="0" applyFont="1" applyFill="1" applyBorder="1" applyAlignment="1" applyProtection="1">
      <alignment horizontal="center" vertical="top" wrapText="1"/>
      <protection locked="0"/>
    </xf>
    <xf numFmtId="0" fontId="123" fillId="26" borderId="23" xfId="0" applyFont="1" applyFill="1" applyBorder="1" applyAlignment="1" applyProtection="1">
      <alignment horizontal="center" vertical="top" wrapText="1"/>
      <protection locked="0"/>
    </xf>
    <xf numFmtId="0" fontId="54" fillId="0" borderId="21" xfId="20" applyFont="1" applyBorder="1" applyAlignment="1" applyProtection="1">
      <alignment horizontal="center" vertical="center" wrapText="1"/>
      <protection hidden="1"/>
    </xf>
    <xf numFmtId="0" fontId="54" fillId="0" borderId="23" xfId="0" applyFont="1" applyBorder="1" applyAlignment="1" applyProtection="1">
      <alignment horizontal="center" vertical="center"/>
      <protection hidden="1"/>
    </xf>
    <xf numFmtId="2" fontId="10" fillId="0" borderId="10" xfId="0" applyNumberFormat="1" applyFont="1" applyFill="1" applyBorder="1" applyAlignment="1">
      <alignment horizontal="left" vertical="center" wrapText="1"/>
    </xf>
    <xf numFmtId="2" fontId="10" fillId="0" borderId="9" xfId="0" applyNumberFormat="1" applyFont="1" applyFill="1" applyBorder="1" applyAlignment="1">
      <alignment horizontal="left" vertical="center" wrapText="1"/>
    </xf>
    <xf numFmtId="2" fontId="10" fillId="0" borderId="15" xfId="0" applyNumberFormat="1" applyFont="1" applyFill="1" applyBorder="1" applyAlignment="1">
      <alignment horizontal="left" vertical="center" wrapText="1"/>
    </xf>
    <xf numFmtId="2" fontId="10" fillId="0" borderId="56" xfId="0" applyNumberFormat="1" applyFont="1" applyFill="1" applyBorder="1" applyAlignment="1">
      <alignment horizontal="left" vertical="center" wrapText="1"/>
    </xf>
    <xf numFmtId="2" fontId="10" fillId="0" borderId="38" xfId="0" applyNumberFormat="1" applyFont="1" applyFill="1" applyBorder="1" applyAlignment="1">
      <alignment horizontal="left" vertical="center" wrapText="1"/>
    </xf>
    <xf numFmtId="2" fontId="10" fillId="0" borderId="39" xfId="0" applyNumberFormat="1" applyFont="1" applyFill="1" applyBorder="1" applyAlignment="1">
      <alignment horizontal="left" vertical="center" wrapText="1"/>
    </xf>
    <xf numFmtId="192" fontId="122" fillId="0" borderId="27" xfId="0" applyNumberFormat="1" applyFont="1" applyBorder="1" applyAlignment="1">
      <alignment horizontal="center" vertical="center" wrapText="1"/>
    </xf>
    <xf numFmtId="14" fontId="45" fillId="0" borderId="19" xfId="0" applyNumberFormat="1" applyFont="1" applyBorder="1" applyAlignment="1">
      <alignment horizontal="center" vertical="center"/>
    </xf>
    <xf numFmtId="14" fontId="45" fillId="0" borderId="22" xfId="0" applyNumberFormat="1" applyFont="1" applyBorder="1" applyAlignment="1">
      <alignment horizontal="center" vertical="center"/>
    </xf>
    <xf numFmtId="0" fontId="45" fillId="2" borderId="13" xfId="0" applyFont="1" applyFill="1" applyBorder="1" applyAlignment="1" applyProtection="1">
      <alignment horizontal="center" vertical="center" wrapText="1"/>
      <protection locked="0"/>
    </xf>
    <xf numFmtId="0" fontId="45" fillId="2" borderId="14" xfId="0" applyFont="1" applyFill="1" applyBorder="1" applyAlignment="1" applyProtection="1">
      <alignment horizontal="center" vertical="center" wrapText="1"/>
      <protection locked="0"/>
    </xf>
    <xf numFmtId="0" fontId="45" fillId="0" borderId="26" xfId="0" applyFont="1" applyBorder="1" applyAlignment="1">
      <alignment horizontal="left" vertical="center"/>
    </xf>
    <xf numFmtId="0" fontId="45" fillId="0" borderId="18" xfId="0" applyFont="1" applyBorder="1" applyAlignment="1">
      <alignment horizontal="left" vertical="center"/>
    </xf>
    <xf numFmtId="0" fontId="13" fillId="0" borderId="40" xfId="0" applyFont="1" applyBorder="1" applyAlignment="1">
      <alignment horizontal="center" vertical="center"/>
    </xf>
    <xf numFmtId="0" fontId="11" fillId="0" borderId="18" xfId="0" applyFont="1" applyBorder="1" applyAlignment="1">
      <alignment horizontal="right" vertical="center"/>
    </xf>
    <xf numFmtId="0" fontId="11" fillId="0" borderId="19" xfId="0" applyFont="1" applyBorder="1" applyAlignment="1">
      <alignment horizontal="right" vertical="center"/>
    </xf>
    <xf numFmtId="0" fontId="95" fillId="0" borderId="29" xfId="0" applyFont="1" applyBorder="1" applyAlignment="1">
      <alignment horizontal="center" vertical="center" wrapText="1"/>
    </xf>
    <xf numFmtId="0" fontId="95" fillId="0" borderId="27" xfId="0" applyFont="1" applyBorder="1" applyAlignment="1">
      <alignment horizontal="center" vertical="center" wrapText="1"/>
    </xf>
    <xf numFmtId="191" fontId="122" fillId="0" borderId="27" xfId="0" applyNumberFormat="1" applyFont="1" applyBorder="1" applyAlignment="1">
      <alignment horizontal="center" vertical="center" wrapText="1"/>
    </xf>
    <xf numFmtId="191" fontId="122" fillId="0" borderId="28" xfId="0" applyNumberFormat="1" applyFont="1" applyBorder="1" applyAlignment="1">
      <alignment horizontal="center" vertical="center" wrapText="1"/>
    </xf>
    <xf numFmtId="0" fontId="37" fillId="0" borderId="49" xfId="0" applyFont="1" applyFill="1" applyBorder="1" applyAlignment="1">
      <alignment horizontal="center" vertical="center" wrapText="1"/>
    </xf>
    <xf numFmtId="0" fontId="37" fillId="0" borderId="50" xfId="0" applyFont="1" applyFill="1" applyBorder="1" applyAlignment="1">
      <alignment horizontal="center" vertical="center" wrapText="1"/>
    </xf>
    <xf numFmtId="0" fontId="37" fillId="0" borderId="51" xfId="0" applyFont="1" applyFill="1" applyBorder="1" applyAlignment="1">
      <alignment horizontal="center" vertical="center" wrapText="1"/>
    </xf>
    <xf numFmtId="0" fontId="37" fillId="0" borderId="76"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67" xfId="0" applyFont="1" applyFill="1" applyBorder="1" applyAlignment="1">
      <alignment horizontal="center" vertical="center" wrapText="1"/>
    </xf>
    <xf numFmtId="0" fontId="13" fillId="0" borderId="76" xfId="0" quotePrefix="1" applyFont="1" applyBorder="1" applyAlignment="1">
      <alignment horizontal="center"/>
    </xf>
    <xf numFmtId="0" fontId="13" fillId="0" borderId="29" xfId="0" quotePrefix="1" applyFont="1" applyBorder="1" applyAlignment="1">
      <alignment horizontal="center"/>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4" xfId="21" applyFont="1" applyFill="1" applyBorder="1" applyAlignment="1">
      <alignment horizontal="center" vertical="center" wrapText="1"/>
    </xf>
    <xf numFmtId="0" fontId="10" fillId="0" borderId="5" xfId="21" applyFont="1" applyFill="1" applyBorder="1" applyAlignment="1">
      <alignment horizontal="center" vertical="center" wrapText="1"/>
    </xf>
    <xf numFmtId="0" fontId="10" fillId="0" borderId="6" xfId="21" applyFont="1" applyFill="1" applyBorder="1" applyAlignment="1">
      <alignment horizontal="center" vertical="center" wrapText="1"/>
    </xf>
    <xf numFmtId="0" fontId="10" fillId="0" borderId="47" xfId="21" applyFont="1" applyFill="1" applyBorder="1" applyAlignment="1">
      <alignment horizontal="center" vertical="center" wrapText="1"/>
    </xf>
    <xf numFmtId="0" fontId="10" fillId="0" borderId="0" xfId="21" applyFont="1" applyFill="1" applyBorder="1" applyAlignment="1">
      <alignment horizontal="center" vertical="center" wrapText="1"/>
    </xf>
    <xf numFmtId="0" fontId="10" fillId="0" borderId="3" xfId="21" applyFont="1" applyFill="1" applyBorder="1" applyAlignment="1">
      <alignment horizontal="center" vertical="center" wrapText="1"/>
    </xf>
    <xf numFmtId="0" fontId="45" fillId="2" borderId="13" xfId="21" applyFont="1" applyFill="1" applyBorder="1" applyAlignment="1" applyProtection="1">
      <alignment horizontal="center" vertical="center" wrapText="1"/>
      <protection locked="0"/>
    </xf>
    <xf numFmtId="0" fontId="45" fillId="2" borderId="14" xfId="21" applyFont="1" applyFill="1" applyBorder="1" applyAlignment="1" applyProtection="1">
      <alignment horizontal="center" vertical="center" wrapText="1"/>
      <protection locked="0"/>
    </xf>
    <xf numFmtId="0" fontId="19" fillId="0" borderId="13" xfId="21" applyFont="1" applyBorder="1" applyAlignment="1">
      <alignment horizontal="center" vertical="center" wrapText="1"/>
    </xf>
    <xf numFmtId="0" fontId="19" fillId="0" borderId="14" xfId="21" applyFont="1" applyBorder="1" applyAlignment="1">
      <alignment horizontal="center" vertical="center" wrapText="1"/>
    </xf>
    <xf numFmtId="0" fontId="45" fillId="2" borderId="0" xfId="21" applyFont="1" applyFill="1" applyBorder="1" applyAlignment="1" applyProtection="1">
      <alignment horizontal="center" vertical="center" wrapText="1"/>
      <protection locked="0"/>
    </xf>
    <xf numFmtId="0" fontId="112" fillId="0" borderId="47" xfId="20" applyFont="1" applyFill="1" applyBorder="1" applyAlignment="1" applyProtection="1">
      <alignment horizontal="center" vertical="center"/>
      <protection locked="0" hidden="1"/>
    </xf>
    <xf numFmtId="0" fontId="112" fillId="0" borderId="0" xfId="20" applyFont="1" applyFill="1" applyBorder="1" applyAlignment="1" applyProtection="1">
      <alignment horizontal="center" vertical="center"/>
      <protection locked="0" hidden="1"/>
    </xf>
    <xf numFmtId="0" fontId="112" fillId="0" borderId="3" xfId="20" applyFont="1" applyFill="1" applyBorder="1" applyAlignment="1" applyProtection="1">
      <alignment horizontal="center" vertical="center"/>
      <protection locked="0" hidden="1"/>
    </xf>
    <xf numFmtId="0" fontId="13" fillId="0" borderId="74" xfId="22" applyFont="1" applyFill="1" applyBorder="1" applyAlignment="1">
      <alignment horizontal="center" vertical="center"/>
    </xf>
    <xf numFmtId="0" fontId="13" fillId="0" borderId="19" xfId="22" applyFont="1" applyFill="1" applyBorder="1" applyAlignment="1">
      <alignment horizontal="center" vertical="center"/>
    </xf>
    <xf numFmtId="0" fontId="13" fillId="0" borderId="75" xfId="22" applyFont="1" applyFill="1" applyBorder="1" applyAlignment="1">
      <alignment horizontal="center" vertical="center"/>
    </xf>
    <xf numFmtId="0" fontId="13" fillId="0" borderId="10" xfId="22" applyFont="1" applyFill="1" applyBorder="1" applyAlignment="1">
      <alignment horizontal="center" vertical="center"/>
    </xf>
    <xf numFmtId="0" fontId="13" fillId="0" borderId="9" xfId="22" applyFont="1" applyFill="1" applyBorder="1" applyAlignment="1">
      <alignment horizontal="center" vertical="center"/>
    </xf>
    <xf numFmtId="0" fontId="13" fillId="0" borderId="4" xfId="22" applyFont="1" applyFill="1" applyBorder="1" applyAlignment="1">
      <alignment horizontal="center" vertical="center"/>
    </xf>
    <xf numFmtId="0" fontId="82" fillId="0" borderId="7" xfId="22" applyFont="1" applyBorder="1" applyAlignment="1">
      <alignment horizontal="center" vertical="center"/>
    </xf>
    <xf numFmtId="0" fontId="82" fillId="0" borderId="8" xfId="22" applyFont="1" applyBorder="1" applyAlignment="1">
      <alignment horizontal="center" vertical="center"/>
    </xf>
    <xf numFmtId="0" fontId="82" fillId="0" borderId="44" xfId="22" applyFont="1" applyBorder="1" applyAlignment="1">
      <alignment horizontal="center" vertical="center"/>
    </xf>
    <xf numFmtId="0" fontId="82" fillId="0" borderId="5" xfId="22" applyFont="1" applyBorder="1" applyAlignment="1">
      <alignment horizontal="center" vertical="center"/>
    </xf>
    <xf numFmtId="0" fontId="82" fillId="0" borderId="6" xfId="22" applyFont="1" applyBorder="1" applyAlignment="1">
      <alignment horizontal="center" vertical="center"/>
    </xf>
    <xf numFmtId="0" fontId="11" fillId="0" borderId="29" xfId="22" applyFont="1" applyBorder="1" applyAlignment="1">
      <alignment horizontal="center" wrapText="1"/>
    </xf>
    <xf numFmtId="0" fontId="11" fillId="0" borderId="28" xfId="22" applyFont="1" applyBorder="1" applyAlignment="1">
      <alignment horizontal="center" wrapText="1"/>
    </xf>
    <xf numFmtId="0" fontId="120" fillId="0" borderId="27" xfId="0" applyFont="1" applyBorder="1" applyAlignment="1">
      <alignment horizontal="center"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2" xfId="0" applyFont="1" applyBorder="1" applyAlignment="1">
      <alignment horizontal="left" vertical="top" wrapText="1"/>
    </xf>
    <xf numFmtId="0" fontId="123" fillId="26" borderId="37" xfId="0" applyFont="1" applyFill="1" applyBorder="1" applyAlignment="1" applyProtection="1">
      <alignment horizontal="center" vertical="top" wrapText="1"/>
      <protection locked="0"/>
    </xf>
    <xf numFmtId="0" fontId="123" fillId="26" borderId="38" xfId="0" applyFont="1" applyFill="1" applyBorder="1" applyAlignment="1" applyProtection="1">
      <alignment horizontal="center" vertical="top" wrapText="1"/>
      <protection locked="0"/>
    </xf>
    <xf numFmtId="0" fontId="123" fillId="26" borderId="39" xfId="0" applyFont="1" applyFill="1" applyBorder="1" applyAlignment="1" applyProtection="1">
      <alignment horizontal="center" vertical="top" wrapText="1"/>
      <protection locked="0"/>
    </xf>
    <xf numFmtId="10" fontId="15" fillId="0" borderId="18" xfId="23" applyNumberFormat="1" applyFont="1" applyFill="1" applyBorder="1" applyAlignment="1">
      <alignment horizontal="center" vertical="center"/>
    </xf>
    <xf numFmtId="10" fontId="15" fillId="0" borderId="75" xfId="23" applyNumberFormat="1" applyFont="1" applyFill="1" applyBorder="1" applyAlignment="1">
      <alignment horizontal="center" vertical="center"/>
    </xf>
    <xf numFmtId="182" fontId="14" fillId="0" borderId="74" xfId="23" applyNumberFormat="1" applyFont="1" applyFill="1" applyBorder="1" applyAlignment="1" applyProtection="1">
      <alignment horizontal="left" vertical="center" wrapText="1"/>
    </xf>
    <xf numFmtId="182" fontId="14" fillId="0" borderId="19" xfId="23" applyNumberFormat="1" applyFont="1" applyFill="1" applyBorder="1" applyAlignment="1" applyProtection="1">
      <alignment horizontal="left" vertical="center" wrapText="1"/>
    </xf>
    <xf numFmtId="0" fontId="54" fillId="0" borderId="18" xfId="20" applyFont="1" applyBorder="1" applyAlignment="1" applyProtection="1">
      <alignment horizontal="center" vertical="center" wrapText="1"/>
      <protection hidden="1"/>
    </xf>
    <xf numFmtId="0" fontId="54" fillId="0" borderId="22" xfId="0" applyFont="1" applyBorder="1" applyAlignment="1" applyProtection="1">
      <alignment horizontal="center" vertical="center"/>
      <protection hidden="1"/>
    </xf>
    <xf numFmtId="182" fontId="14" fillId="0" borderId="41" xfId="23" applyNumberFormat="1" applyFont="1" applyFill="1" applyBorder="1" applyAlignment="1" applyProtection="1">
      <alignment horizontal="left" vertical="center" wrapText="1"/>
    </xf>
    <xf numFmtId="182" fontId="14" fillId="0" borderId="43" xfId="23" applyNumberFormat="1" applyFont="1" applyFill="1" applyBorder="1" applyAlignment="1" applyProtection="1">
      <alignment horizontal="left" vertical="center" wrapText="1"/>
    </xf>
    <xf numFmtId="10" fontId="15" fillId="0" borderId="31" xfId="23" applyNumberFormat="1" applyFont="1" applyFill="1" applyBorder="1" applyAlignment="1">
      <alignment horizontal="center" vertical="center"/>
    </xf>
    <xf numFmtId="10" fontId="15" fillId="0" borderId="42" xfId="23" applyNumberFormat="1" applyFont="1" applyFill="1" applyBorder="1" applyAlignment="1">
      <alignment horizontal="center" vertical="center"/>
    </xf>
    <xf numFmtId="0" fontId="45" fillId="0" borderId="22" xfId="21" applyNumberFormat="1" applyFont="1" applyFill="1" applyBorder="1" applyAlignment="1" applyProtection="1">
      <alignment horizontal="left" vertical="top" wrapText="1"/>
    </xf>
    <xf numFmtId="0" fontId="45" fillId="0" borderId="26" xfId="21" applyNumberFormat="1" applyFont="1" applyFill="1" applyBorder="1" applyAlignment="1" applyProtection="1">
      <alignment horizontal="left" vertical="top" wrapText="1"/>
    </xf>
    <xf numFmtId="0" fontId="45" fillId="0" borderId="29" xfId="21" applyNumberFormat="1" applyFont="1" applyFill="1" applyBorder="1" applyAlignment="1" applyProtection="1">
      <alignment horizontal="left" vertical="top" wrapText="1"/>
    </xf>
    <xf numFmtId="0" fontId="45" fillId="0" borderId="26" xfId="21" applyFont="1" applyFill="1" applyBorder="1" applyAlignment="1" applyProtection="1">
      <alignment horizontal="center" vertical="center"/>
    </xf>
    <xf numFmtId="0" fontId="45" fillId="0" borderId="18" xfId="21" applyFont="1" applyFill="1" applyBorder="1" applyAlignment="1" applyProtection="1">
      <alignment horizontal="center" vertical="center"/>
    </xf>
    <xf numFmtId="0" fontId="11" fillId="0" borderId="18" xfId="21" applyFont="1" applyFill="1" applyBorder="1" applyAlignment="1" applyProtection="1">
      <alignment horizontal="right" vertical="center"/>
    </xf>
    <xf numFmtId="0" fontId="11" fillId="0" borderId="19" xfId="21" applyFont="1" applyFill="1" applyBorder="1" applyAlignment="1" applyProtection="1">
      <alignment horizontal="right" vertical="center"/>
    </xf>
    <xf numFmtId="14" fontId="45" fillId="0" borderId="19" xfId="21" applyNumberFormat="1" applyFont="1" applyFill="1" applyBorder="1" applyAlignment="1" applyProtection="1">
      <alignment horizontal="center" vertical="center"/>
    </xf>
    <xf numFmtId="14" fontId="45" fillId="0" borderId="22" xfId="21" applyNumberFormat="1" applyFont="1" applyFill="1" applyBorder="1" applyAlignment="1" applyProtection="1">
      <alignment horizontal="center" vertical="center"/>
    </xf>
    <xf numFmtId="0" fontId="45" fillId="0" borderId="30" xfId="21" applyFont="1" applyFill="1" applyBorder="1" applyAlignment="1" applyProtection="1">
      <alignment horizontal="center" vertical="center"/>
    </xf>
    <xf numFmtId="0" fontId="13" fillId="0" borderId="40" xfId="21" applyFont="1" applyFill="1" applyBorder="1" applyAlignment="1" applyProtection="1">
      <alignment horizontal="center" vertical="center"/>
    </xf>
    <xf numFmtId="0" fontId="11" fillId="0" borderId="13" xfId="21" applyFont="1" applyBorder="1" applyAlignment="1">
      <alignment horizontal="center" vertical="center" wrapText="1"/>
    </xf>
    <xf numFmtId="0" fontId="11" fillId="0" borderId="14" xfId="21" applyFont="1" applyBorder="1" applyAlignment="1">
      <alignment horizontal="center" vertical="center" wrapText="1"/>
    </xf>
    <xf numFmtId="182" fontId="47" fillId="0" borderId="26" xfId="21" applyNumberFormat="1" applyFont="1" applyFill="1" applyBorder="1" applyAlignment="1" applyProtection="1">
      <alignment horizontal="left" vertical="center" wrapText="1"/>
    </xf>
    <xf numFmtId="0" fontId="59" fillId="0" borderId="18" xfId="21" applyFont="1" applyBorder="1" applyAlignment="1">
      <alignment horizontal="left" vertical="top" wrapText="1"/>
    </xf>
    <xf numFmtId="0" fontId="59" fillId="0" borderId="22" xfId="21" applyFont="1" applyBorder="1" applyAlignment="1">
      <alignment horizontal="left" vertical="top" wrapText="1"/>
    </xf>
    <xf numFmtId="0" fontId="11" fillId="0" borderId="21" xfId="21" applyFont="1" applyBorder="1" applyAlignment="1">
      <alignment horizontal="center" vertical="center" wrapText="1"/>
    </xf>
    <xf numFmtId="0" fontId="11" fillId="0" borderId="23" xfId="21" applyFont="1" applyBorder="1" applyAlignment="1">
      <alignment horizontal="center" vertical="center" wrapText="1"/>
    </xf>
    <xf numFmtId="0" fontId="11" fillId="0" borderId="27" xfId="21" applyFont="1" applyBorder="1" applyAlignment="1">
      <alignment horizontal="center" vertical="center" wrapText="1"/>
    </xf>
    <xf numFmtId="0" fontId="11" fillId="0" borderId="28" xfId="21" applyFont="1" applyBorder="1" applyAlignment="1">
      <alignment horizontal="center" vertical="center" wrapText="1"/>
    </xf>
    <xf numFmtId="0" fontId="47" fillId="0" borderId="20" xfId="21" applyFont="1" applyFill="1" applyBorder="1" applyAlignment="1" applyProtection="1">
      <alignment horizontal="left" vertical="center"/>
    </xf>
    <xf numFmtId="0" fontId="47" fillId="0" borderId="11" xfId="21" applyFont="1" applyFill="1" applyBorder="1" applyAlignment="1" applyProtection="1">
      <alignment horizontal="left" vertical="center"/>
    </xf>
    <xf numFmtId="0" fontId="47" fillId="0" borderId="24" xfId="21" applyFont="1" applyFill="1" applyBorder="1" applyAlignment="1" applyProtection="1">
      <alignment horizontal="left" vertical="center"/>
    </xf>
    <xf numFmtId="0" fontId="47" fillId="0" borderId="25" xfId="21" applyFont="1" applyFill="1" applyBorder="1" applyAlignment="1" applyProtection="1">
      <alignment horizontal="left" vertical="top"/>
    </xf>
    <xf numFmtId="0" fontId="47" fillId="0" borderId="9" xfId="21" applyFont="1" applyFill="1" applyBorder="1" applyAlignment="1" applyProtection="1">
      <alignment horizontal="left" vertical="top"/>
    </xf>
    <xf numFmtId="0" fontId="47" fillId="0" borderId="15" xfId="21" applyFont="1" applyFill="1" applyBorder="1" applyAlignment="1" applyProtection="1">
      <alignment horizontal="left" vertical="top"/>
    </xf>
    <xf numFmtId="0" fontId="47" fillId="0" borderId="13" xfId="21" applyFont="1" applyFill="1" applyBorder="1" applyAlignment="1" applyProtection="1">
      <alignment horizontal="left" vertical="top"/>
    </xf>
    <xf numFmtId="0" fontId="47" fillId="0" borderId="0" xfId="21" applyFont="1" applyFill="1" applyBorder="1" applyAlignment="1" applyProtection="1">
      <alignment horizontal="left" vertical="top"/>
    </xf>
    <xf numFmtId="0" fontId="47" fillId="0" borderId="14" xfId="21" applyFont="1" applyFill="1" applyBorder="1" applyAlignment="1" applyProtection="1">
      <alignment horizontal="left" vertical="top"/>
    </xf>
    <xf numFmtId="0" fontId="13" fillId="0" borderId="29" xfId="22" applyFont="1" applyBorder="1" applyAlignment="1">
      <alignment horizontal="center" vertical="center"/>
    </xf>
    <xf numFmtId="0" fontId="13" fillId="0" borderId="20" xfId="22" applyFont="1" applyBorder="1" applyAlignment="1">
      <alignment horizontal="center" vertical="center"/>
    </xf>
    <xf numFmtId="0" fontId="13" fillId="0" borderId="11" xfId="22" applyFont="1" applyBorder="1" applyAlignment="1">
      <alignment horizontal="center" vertical="center"/>
    </xf>
    <xf numFmtId="0" fontId="82" fillId="0" borderId="35" xfId="22" applyFont="1" applyBorder="1" applyAlignment="1">
      <alignment horizontal="center" vertical="center"/>
    </xf>
    <xf numFmtId="167" fontId="46" fillId="2" borderId="21" xfId="0" applyNumberFormat="1" applyFont="1" applyFill="1" applyBorder="1" applyAlignment="1">
      <alignment horizontal="center" vertical="center"/>
    </xf>
    <xf numFmtId="167" fontId="46" fillId="2" borderId="23" xfId="0" applyNumberFormat="1" applyFont="1" applyFill="1" applyBorder="1" applyAlignment="1">
      <alignment horizontal="center" vertical="center"/>
    </xf>
    <xf numFmtId="0" fontId="45" fillId="0" borderId="19" xfId="0" applyFont="1" applyBorder="1" applyAlignment="1">
      <alignment horizontal="left" vertical="center"/>
    </xf>
    <xf numFmtId="0" fontId="45" fillId="0" borderId="22" xfId="0" applyFont="1" applyBorder="1" applyAlignment="1">
      <alignment horizontal="left" vertical="center"/>
    </xf>
    <xf numFmtId="0" fontId="46" fillId="2" borderId="8" xfId="0" applyFont="1" applyFill="1" applyBorder="1" applyAlignment="1">
      <alignment horizontal="center" vertical="center" wrapText="1"/>
    </xf>
    <xf numFmtId="0" fontId="46" fillId="2" borderId="35" xfId="0" applyFont="1" applyFill="1" applyBorder="1" applyAlignment="1">
      <alignment horizontal="center" vertical="center" wrapText="1"/>
    </xf>
    <xf numFmtId="0" fontId="11" fillId="0" borderId="18" xfId="0" applyFont="1" applyBorder="1" applyAlignment="1">
      <alignment vertical="top" wrapText="1"/>
    </xf>
    <xf numFmtId="0" fontId="11" fillId="0" borderId="19" xfId="0" applyFont="1" applyBorder="1" applyAlignment="1">
      <alignment vertical="top" wrapText="1"/>
    </xf>
    <xf numFmtId="0" fontId="22" fillId="0" borderId="17" xfId="0" applyFont="1" applyBorder="1" applyAlignment="1">
      <alignment horizontal="left" vertical="center"/>
    </xf>
    <xf numFmtId="0" fontId="22" fillId="0" borderId="23" xfId="0" applyFont="1" applyBorder="1" applyAlignment="1">
      <alignment horizontal="left" vertical="center"/>
    </xf>
    <xf numFmtId="167" fontId="45" fillId="0" borderId="21" xfId="0" applyNumberFormat="1" applyFont="1" applyFill="1" applyBorder="1" applyAlignment="1">
      <alignment horizontal="center" vertical="center"/>
    </xf>
    <xf numFmtId="167" fontId="45" fillId="0" borderId="23" xfId="0" applyNumberFormat="1" applyFont="1" applyFill="1" applyBorder="1" applyAlignment="1">
      <alignment horizontal="center" vertical="center"/>
    </xf>
    <xf numFmtId="167" fontId="45" fillId="0" borderId="20" xfId="0" applyNumberFormat="1" applyFont="1" applyBorder="1" applyAlignment="1">
      <alignment horizontal="center" vertical="center"/>
    </xf>
    <xf numFmtId="167" fontId="45" fillId="0" borderId="24" xfId="0" applyNumberFormat="1" applyFont="1" applyBorder="1" applyAlignment="1">
      <alignment horizontal="center" vertical="center"/>
    </xf>
    <xf numFmtId="0" fontId="19" fillId="0" borderId="20" xfId="0" applyFont="1" applyBorder="1" applyAlignment="1">
      <alignment horizontal="center" vertical="center" wrapText="1"/>
    </xf>
    <xf numFmtId="0" fontId="19" fillId="0" borderId="24" xfId="0" applyFont="1" applyBorder="1" applyAlignment="1">
      <alignment horizontal="center" vertical="center" wrapText="1"/>
    </xf>
    <xf numFmtId="167" fontId="45" fillId="0" borderId="25" xfId="0" applyNumberFormat="1" applyFont="1" applyBorder="1" applyAlignment="1">
      <alignment horizontal="center" vertical="center"/>
    </xf>
    <xf numFmtId="167" fontId="45" fillId="0" borderId="15" xfId="0" applyNumberFormat="1" applyFont="1" applyBorder="1" applyAlignment="1">
      <alignment horizontal="center" vertical="center"/>
    </xf>
    <xf numFmtId="10" fontId="45" fillId="0" borderId="0" xfId="9" applyNumberFormat="1" applyFont="1" applyBorder="1" applyAlignment="1">
      <alignment horizontal="center" vertical="center"/>
    </xf>
    <xf numFmtId="10" fontId="45" fillId="0" borderId="14" xfId="9" applyNumberFormat="1" applyFont="1" applyBorder="1" applyAlignment="1">
      <alignment horizontal="center" vertical="center"/>
    </xf>
    <xf numFmtId="187" fontId="30" fillId="0" borderId="21" xfId="0" applyNumberFormat="1" applyFont="1" applyBorder="1" applyAlignment="1">
      <alignment horizontal="center" vertical="center"/>
    </xf>
    <xf numFmtId="187" fontId="30" fillId="0" borderId="23" xfId="0" applyNumberFormat="1"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11" fillId="0" borderId="9" xfId="0" applyFont="1" applyBorder="1" applyAlignment="1">
      <alignment horizontal="center" vertical="center"/>
    </xf>
    <xf numFmtId="10" fontId="45" fillId="0" borderId="18" xfId="0" applyNumberFormat="1" applyFont="1" applyBorder="1" applyAlignment="1">
      <alignment horizontal="center" vertical="center"/>
    </xf>
    <xf numFmtId="10" fontId="45" fillId="0" borderId="22" xfId="0" applyNumberFormat="1" applyFont="1" applyBorder="1" applyAlignment="1">
      <alignment horizontal="center" vertical="center"/>
    </xf>
    <xf numFmtId="10" fontId="45" fillId="0" borderId="31" xfId="0" applyNumberFormat="1" applyFont="1" applyBorder="1" applyAlignment="1">
      <alignment horizontal="center" vertical="center"/>
    </xf>
    <xf numFmtId="10" fontId="45" fillId="0" borderId="32" xfId="0" applyNumberFormat="1" applyFont="1" applyBorder="1" applyAlignment="1">
      <alignment horizontal="center" vertical="center"/>
    </xf>
    <xf numFmtId="0" fontId="22" fillId="0" borderId="8" xfId="0" applyFont="1" applyBorder="1" applyAlignment="1">
      <alignment horizontal="left" vertical="center"/>
    </xf>
    <xf numFmtId="0" fontId="22" fillId="0" borderId="35" xfId="0" applyFont="1" applyBorder="1" applyAlignment="1">
      <alignment horizontal="left" vertical="center"/>
    </xf>
    <xf numFmtId="167" fontId="46" fillId="0" borderId="25" xfId="0" applyNumberFormat="1" applyFont="1" applyFill="1" applyBorder="1" applyAlignment="1">
      <alignment horizontal="center" vertical="center"/>
    </xf>
    <xf numFmtId="167" fontId="46" fillId="0" borderId="15" xfId="0" applyNumberFormat="1" applyFont="1" applyFill="1" applyBorder="1" applyAlignment="1">
      <alignment horizontal="center" vertical="center"/>
    </xf>
    <xf numFmtId="167" fontId="46" fillId="0" borderId="33" xfId="0" applyNumberFormat="1" applyFont="1" applyFill="1" applyBorder="1" applyAlignment="1">
      <alignment horizontal="center" vertical="center"/>
    </xf>
    <xf numFmtId="167" fontId="46" fillId="0" borderId="35" xfId="0" applyNumberFormat="1" applyFont="1" applyFill="1" applyBorder="1" applyAlignment="1">
      <alignment horizontal="center" vertical="center"/>
    </xf>
    <xf numFmtId="167" fontId="45" fillId="0" borderId="31" xfId="0" applyNumberFormat="1" applyFont="1" applyBorder="1" applyAlignment="1">
      <alignment horizontal="center" vertical="center"/>
    </xf>
    <xf numFmtId="167" fontId="45" fillId="0" borderId="32" xfId="0" applyNumberFormat="1" applyFont="1" applyBorder="1" applyAlignment="1">
      <alignment horizontal="center" vertical="center"/>
    </xf>
    <xf numFmtId="0" fontId="14" fillId="0" borderId="21" xfId="0" applyFont="1" applyFill="1" applyBorder="1" applyAlignment="1">
      <alignment horizontal="left" vertical="center"/>
    </xf>
    <xf numFmtId="0" fontId="14" fillId="0" borderId="17" xfId="0" applyFont="1" applyFill="1" applyBorder="1" applyAlignment="1">
      <alignment horizontal="left" vertical="center"/>
    </xf>
    <xf numFmtId="167" fontId="45" fillId="0" borderId="13" xfId="0" applyNumberFormat="1" applyFont="1" applyBorder="1" applyAlignment="1">
      <alignment horizontal="center" vertical="center"/>
    </xf>
    <xf numFmtId="167" fontId="45" fillId="0" borderId="14" xfId="0" applyNumberFormat="1" applyFont="1" applyBorder="1" applyAlignment="1">
      <alignment horizontal="center" vertical="center"/>
    </xf>
    <xf numFmtId="0" fontId="9" fillId="0" borderId="19" xfId="0" applyFont="1" applyFill="1" applyBorder="1" applyAlignment="1">
      <alignment horizontal="left"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1" fillId="0" borderId="17" xfId="0" applyFont="1" applyFill="1" applyBorder="1" applyAlignment="1">
      <alignment horizontal="left" vertical="center"/>
    </xf>
    <xf numFmtId="167" fontId="45" fillId="0" borderId="11" xfId="0" applyNumberFormat="1" applyFont="1" applyBorder="1" applyAlignment="1">
      <alignment horizontal="center" vertical="center"/>
    </xf>
    <xf numFmtId="0" fontId="45" fillId="0" borderId="13" xfId="0" applyFont="1" applyBorder="1" applyAlignment="1">
      <alignment horizontal="left" vertical="center"/>
    </xf>
    <xf numFmtId="0" fontId="45" fillId="0" borderId="0" xfId="0" applyFont="1" applyBorder="1" applyAlignment="1">
      <alignment horizontal="left" vertical="center"/>
    </xf>
    <xf numFmtId="0" fontId="45" fillId="0" borderId="14" xfId="0" applyFont="1" applyBorder="1" applyAlignment="1">
      <alignment horizontal="left"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187" fontId="45" fillId="0" borderId="31" xfId="0" applyNumberFormat="1" applyFont="1" applyBorder="1" applyAlignment="1">
      <alignment horizontal="center" vertical="center"/>
    </xf>
    <xf numFmtId="187" fontId="45" fillId="0" borderId="32" xfId="0" applyNumberFormat="1" applyFont="1" applyBorder="1" applyAlignment="1">
      <alignment horizontal="center" vertical="center"/>
    </xf>
    <xf numFmtId="167" fontId="45" fillId="0" borderId="20" xfId="0" applyNumberFormat="1" applyFont="1" applyFill="1" applyBorder="1" applyAlignment="1">
      <alignment horizontal="center" vertical="center"/>
    </xf>
    <xf numFmtId="167" fontId="45" fillId="0" borderId="24" xfId="0" applyNumberFormat="1" applyFont="1" applyFill="1" applyBorder="1" applyAlignment="1">
      <alignment horizontal="center" vertical="center"/>
    </xf>
    <xf numFmtId="167" fontId="45" fillId="0" borderId="13" xfId="0" applyNumberFormat="1" applyFont="1" applyFill="1" applyBorder="1" applyAlignment="1">
      <alignment horizontal="center" vertical="center"/>
    </xf>
    <xf numFmtId="167" fontId="45" fillId="0" borderId="14" xfId="0" applyNumberFormat="1" applyFont="1" applyFill="1" applyBorder="1" applyAlignment="1">
      <alignment horizontal="center" vertical="center"/>
    </xf>
    <xf numFmtId="167" fontId="45" fillId="0" borderId="25" xfId="0" applyNumberFormat="1" applyFont="1" applyFill="1" applyBorder="1" applyAlignment="1">
      <alignment horizontal="center" vertical="center"/>
    </xf>
    <xf numFmtId="167" fontId="45" fillId="0" borderId="15" xfId="0" applyNumberFormat="1" applyFont="1" applyFill="1" applyBorder="1" applyAlignment="1">
      <alignment horizontal="center" vertical="center"/>
    </xf>
    <xf numFmtId="10" fontId="45" fillId="0" borderId="11" xfId="9" applyNumberFormat="1" applyFont="1" applyBorder="1" applyAlignment="1">
      <alignment horizontal="center" vertical="center"/>
    </xf>
    <xf numFmtId="10" fontId="45" fillId="0" borderId="24" xfId="9" applyNumberFormat="1" applyFont="1" applyBorder="1" applyAlignment="1">
      <alignment horizontal="center" vertical="center"/>
    </xf>
    <xf numFmtId="0" fontId="33" fillId="0" borderId="21"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14" fillId="0" borderId="20"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24" xfId="0" applyFont="1" applyFill="1" applyBorder="1" applyAlignment="1">
      <alignment horizontal="left" vertical="center"/>
    </xf>
    <xf numFmtId="0" fontId="45" fillId="0" borderId="20" xfId="0" applyFont="1" applyBorder="1" applyAlignment="1">
      <alignment horizontal="left" vertical="center"/>
    </xf>
    <xf numFmtId="0" fontId="45" fillId="0" borderId="11" xfId="0" applyFont="1" applyBorder="1" applyAlignment="1">
      <alignment horizontal="left" vertical="center"/>
    </xf>
    <xf numFmtId="0" fontId="45" fillId="0" borderId="24" xfId="0" applyFont="1" applyBorder="1" applyAlignment="1">
      <alignment horizontal="left" vertical="center"/>
    </xf>
    <xf numFmtId="0" fontId="45" fillId="0" borderId="25" xfId="0" applyFont="1" applyBorder="1" applyAlignment="1">
      <alignment horizontal="left" vertical="center"/>
    </xf>
    <xf numFmtId="0" fontId="45" fillId="0" borderId="9" xfId="0" applyFont="1" applyBorder="1" applyAlignment="1">
      <alignment horizontal="left" vertical="center"/>
    </xf>
    <xf numFmtId="0" fontId="45" fillId="0" borderId="15" xfId="0" applyFont="1" applyBorder="1" applyAlignment="1">
      <alignment horizontal="left" vertical="center"/>
    </xf>
    <xf numFmtId="10" fontId="45" fillId="0" borderId="9" xfId="9" applyNumberFormat="1" applyFont="1" applyBorder="1" applyAlignment="1">
      <alignment horizontal="center" vertical="center"/>
    </xf>
    <xf numFmtId="10" fontId="45" fillId="0" borderId="15" xfId="9" applyNumberFormat="1" applyFont="1" applyBorder="1" applyAlignment="1">
      <alignment horizontal="center" vertical="center"/>
    </xf>
    <xf numFmtId="167" fontId="45" fillId="0" borderId="0" xfId="0" applyNumberFormat="1" applyFont="1" applyBorder="1" applyAlignment="1">
      <alignment horizontal="center" vertical="center"/>
    </xf>
    <xf numFmtId="0" fontId="11" fillId="0" borderId="11" xfId="0" applyFont="1" applyBorder="1" applyAlignment="1">
      <alignment horizontal="left" vertical="center"/>
    </xf>
    <xf numFmtId="0" fontId="14" fillId="0" borderId="25"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left" vertical="center"/>
    </xf>
    <xf numFmtId="0" fontId="22" fillId="0" borderId="11" xfId="0" applyFont="1" applyBorder="1" applyAlignment="1">
      <alignment horizontal="left" vertical="center"/>
    </xf>
    <xf numFmtId="0" fontId="22" fillId="0" borderId="24"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xf numFmtId="0" fontId="22" fillId="0" borderId="22" xfId="0" applyFont="1" applyBorder="1" applyAlignment="1">
      <alignment horizontal="left" vertical="center"/>
    </xf>
    <xf numFmtId="0" fontId="22" fillId="0" borderId="0" xfId="0" applyFont="1" applyBorder="1" applyAlignment="1">
      <alignment horizontal="left" vertical="center"/>
    </xf>
    <xf numFmtId="0" fontId="22" fillId="0" borderId="14" xfId="0" applyFont="1" applyBorder="1" applyAlignment="1">
      <alignment horizontal="left" vertical="center"/>
    </xf>
    <xf numFmtId="0" fontId="15" fillId="2" borderId="21" xfId="0" applyFont="1" applyFill="1" applyBorder="1" applyAlignment="1">
      <alignment horizontal="left" vertical="center"/>
    </xf>
    <xf numFmtId="0" fontId="15" fillId="2" borderId="17" xfId="0" applyFont="1" applyFill="1" applyBorder="1" applyAlignment="1">
      <alignment horizontal="left" vertical="center"/>
    </xf>
    <xf numFmtId="0" fontId="14" fillId="0" borderId="31" xfId="0" applyFont="1" applyBorder="1" applyAlignment="1">
      <alignment horizontal="left" vertical="center"/>
    </xf>
    <xf numFmtId="0" fontId="14" fillId="0" borderId="43" xfId="0" applyFont="1" applyBorder="1" applyAlignment="1">
      <alignment horizontal="left" vertical="center"/>
    </xf>
    <xf numFmtId="0" fontId="11" fillId="0" borderId="2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14" fontId="45" fillId="0" borderId="43" xfId="0" applyNumberFormat="1" applyFont="1" applyBorder="1" applyAlignment="1">
      <alignment horizontal="center" vertical="center"/>
    </xf>
    <xf numFmtId="14" fontId="45" fillId="0" borderId="15" xfId="0" applyNumberFormat="1" applyFont="1" applyBorder="1" applyAlignment="1">
      <alignment horizontal="center" vertical="center"/>
    </xf>
    <xf numFmtId="10" fontId="45" fillId="0" borderId="21" xfId="0" applyNumberFormat="1" applyFont="1" applyBorder="1" applyAlignment="1">
      <alignment horizontal="center" vertical="center"/>
    </xf>
    <xf numFmtId="10" fontId="45" fillId="0" borderId="23" xfId="0" applyNumberFormat="1"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167" fontId="46" fillId="2" borderId="18" xfId="0" applyNumberFormat="1" applyFont="1" applyFill="1" applyBorder="1" applyAlignment="1">
      <alignment horizontal="center" vertical="center"/>
    </xf>
    <xf numFmtId="167" fontId="46" fillId="2" borderId="22" xfId="0" applyNumberFormat="1" applyFont="1" applyFill="1" applyBorder="1" applyAlignment="1">
      <alignment horizontal="center" vertical="center"/>
    </xf>
    <xf numFmtId="0" fontId="14" fillId="0" borderId="13"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0" fontId="11" fillId="0" borderId="8" xfId="0" applyFont="1" applyBorder="1" applyAlignment="1">
      <alignment horizontal="left" vertical="center"/>
    </xf>
    <xf numFmtId="0" fontId="45" fillId="0" borderId="13" xfId="0" applyNumberFormat="1" applyFont="1" applyBorder="1" applyAlignment="1">
      <alignment horizontal="left" vertical="center"/>
    </xf>
    <xf numFmtId="0" fontId="45" fillId="0" borderId="0" xfId="0" applyNumberFormat="1" applyFont="1" applyBorder="1" applyAlignment="1">
      <alignment horizontal="left" vertical="center"/>
    </xf>
    <xf numFmtId="0" fontId="45" fillId="0" borderId="14" xfId="0" applyNumberFormat="1" applyFont="1" applyBorder="1" applyAlignment="1">
      <alignment horizontal="left" vertical="center"/>
    </xf>
    <xf numFmtId="167" fontId="45" fillId="0" borderId="33" xfId="0" applyNumberFormat="1" applyFont="1" applyBorder="1" applyAlignment="1">
      <alignment horizontal="center" vertical="center"/>
    </xf>
    <xf numFmtId="167" fontId="45" fillId="0" borderId="35" xfId="0" applyNumberFormat="1" applyFont="1" applyBorder="1" applyAlignment="1">
      <alignment horizontal="center" vertical="center"/>
    </xf>
    <xf numFmtId="0" fontId="14" fillId="0" borderId="33" xfId="0" applyFont="1" applyBorder="1" applyAlignment="1">
      <alignment horizontal="left" vertical="center"/>
    </xf>
    <xf numFmtId="0" fontId="14" fillId="0" borderId="8" xfId="0" applyFont="1" applyBorder="1" applyAlignment="1">
      <alignment horizontal="left" vertical="center"/>
    </xf>
    <xf numFmtId="0" fontId="11" fillId="0" borderId="21" xfId="0" applyFont="1" applyBorder="1" applyAlignment="1">
      <alignment horizontal="center" vertical="center"/>
    </xf>
    <xf numFmtId="0" fontId="11" fillId="0" borderId="23" xfId="0" applyFont="1" applyBorder="1" applyAlignment="1">
      <alignment horizontal="center" vertical="center"/>
    </xf>
    <xf numFmtId="0" fontId="45" fillId="0" borderId="0" xfId="0" applyFont="1" applyBorder="1" applyAlignment="1">
      <alignment horizontal="center" vertical="center"/>
    </xf>
    <xf numFmtId="0" fontId="45" fillId="0" borderId="14"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167" fontId="46" fillId="0" borderId="25" xfId="0" applyNumberFormat="1" applyFont="1" applyBorder="1" applyAlignment="1">
      <alignment horizontal="center" vertical="center"/>
    </xf>
    <xf numFmtId="167" fontId="46" fillId="0" borderId="15" xfId="0" applyNumberFormat="1" applyFont="1" applyBorder="1" applyAlignment="1">
      <alignment horizontal="center" vertical="center"/>
    </xf>
    <xf numFmtId="0" fontId="15" fillId="2" borderId="33" xfId="0" applyFont="1" applyFill="1" applyBorder="1" applyAlignment="1">
      <alignment horizontal="left" vertical="center"/>
    </xf>
    <xf numFmtId="0" fontId="15" fillId="2" borderId="8" xfId="0" applyFont="1" applyFill="1" applyBorder="1" applyAlignment="1">
      <alignment horizontal="left" vertical="center"/>
    </xf>
    <xf numFmtId="0" fontId="11" fillId="0" borderId="20" xfId="0" applyFont="1" applyBorder="1" applyAlignment="1">
      <alignment horizontal="left" vertical="top" wrapText="1"/>
    </xf>
    <xf numFmtId="0" fontId="11" fillId="0" borderId="11" xfId="0" applyFont="1" applyBorder="1" applyAlignment="1">
      <alignment horizontal="left" vertical="top" wrapText="1"/>
    </xf>
    <xf numFmtId="0" fontId="11" fillId="0" borderId="21" xfId="0" applyFont="1" applyBorder="1" applyAlignment="1">
      <alignment horizontal="left" vertical="top" wrapText="1"/>
    </xf>
    <xf numFmtId="0" fontId="11" fillId="0" borderId="17" xfId="0" applyFont="1" applyBorder="1" applyAlignment="1">
      <alignment horizontal="left" vertical="top" wrapText="1"/>
    </xf>
    <xf numFmtId="0" fontId="45" fillId="0" borderId="0" xfId="0" applyFont="1" applyBorder="1" applyAlignment="1">
      <alignment horizontal="left" vertical="top" wrapText="1"/>
    </xf>
    <xf numFmtId="0" fontId="45" fillId="0" borderId="14" xfId="0" applyFont="1" applyBorder="1" applyAlignment="1">
      <alignment horizontal="left" vertical="top" wrapText="1"/>
    </xf>
    <xf numFmtId="0" fontId="45" fillId="0" borderId="17" xfId="0" applyFont="1" applyBorder="1" applyAlignment="1">
      <alignment horizontal="left" vertical="top" wrapText="1"/>
    </xf>
    <xf numFmtId="0" fontId="45" fillId="0" borderId="23" xfId="0" applyFont="1" applyBorder="1" applyAlignment="1">
      <alignment horizontal="left" vertical="top" wrapText="1"/>
    </xf>
    <xf numFmtId="14" fontId="24" fillId="0" borderId="11" xfId="0" applyNumberFormat="1" applyFont="1" applyBorder="1" applyAlignment="1">
      <alignment horizontal="center" vertical="center"/>
    </xf>
    <xf numFmtId="14" fontId="24" fillId="0" borderId="24" xfId="0" applyNumberFormat="1" applyFont="1" applyBorder="1" applyAlignment="1">
      <alignment horizontal="center" vertical="center"/>
    </xf>
    <xf numFmtId="0" fontId="14" fillId="0" borderId="21" xfId="0" applyFont="1" applyBorder="1" applyAlignment="1">
      <alignment horizontal="left" vertical="center"/>
    </xf>
    <xf numFmtId="0" fontId="14" fillId="0" borderId="17" xfId="0" applyFont="1" applyBorder="1" applyAlignment="1">
      <alignment horizontal="left"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45" fillId="0" borderId="13" xfId="0" applyFont="1" applyBorder="1" applyAlignment="1">
      <alignment horizontal="left" vertical="top"/>
    </xf>
    <xf numFmtId="0" fontId="45" fillId="0" borderId="0" xfId="0" applyFont="1" applyBorder="1" applyAlignment="1">
      <alignment horizontal="left" vertical="top"/>
    </xf>
    <xf numFmtId="0" fontId="45" fillId="0" borderId="14" xfId="0" applyFont="1" applyBorder="1" applyAlignment="1">
      <alignment horizontal="left" vertical="top"/>
    </xf>
    <xf numFmtId="0" fontId="14" fillId="0" borderId="20" xfId="0" applyFont="1" applyBorder="1" applyAlignment="1">
      <alignment horizontal="left" vertical="center"/>
    </xf>
    <xf numFmtId="0" fontId="14" fillId="0" borderId="11" xfId="0" applyFont="1" applyBorder="1" applyAlignment="1">
      <alignment horizontal="left" vertical="center"/>
    </xf>
    <xf numFmtId="0" fontId="11" fillId="0" borderId="21" xfId="0" applyFont="1" applyBorder="1" applyAlignment="1">
      <alignment horizontal="left" vertical="center"/>
    </xf>
    <xf numFmtId="0" fontId="11" fillId="0" borderId="17" xfId="0" applyFont="1" applyBorder="1" applyAlignment="1">
      <alignment horizontal="left" vertical="center"/>
    </xf>
    <xf numFmtId="0" fontId="11" fillId="0" borderId="23" xfId="0" applyFont="1" applyBorder="1" applyAlignment="1">
      <alignment horizontal="left" vertical="center"/>
    </xf>
    <xf numFmtId="0" fontId="45" fillId="0" borderId="20" xfId="0" applyNumberFormat="1" applyFont="1" applyBorder="1" applyAlignment="1">
      <alignment horizontal="left" vertical="center"/>
    </xf>
    <xf numFmtId="0" fontId="45" fillId="0" borderId="11" xfId="0" applyNumberFormat="1" applyFont="1" applyBorder="1" applyAlignment="1">
      <alignment horizontal="left" vertical="center"/>
    </xf>
    <xf numFmtId="0" fontId="45" fillId="0" borderId="24" xfId="0" applyNumberFormat="1" applyFont="1" applyBorder="1" applyAlignment="1">
      <alignment horizontal="left" vertical="center"/>
    </xf>
    <xf numFmtId="10" fontId="45" fillId="0" borderId="20" xfId="0" applyNumberFormat="1" applyFont="1" applyBorder="1" applyAlignment="1">
      <alignment horizontal="center" vertical="center"/>
    </xf>
    <xf numFmtId="10" fontId="45" fillId="0" borderId="24" xfId="0" applyNumberFormat="1" applyFont="1" applyBorder="1" applyAlignment="1">
      <alignment horizontal="center" vertic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4" fillId="0" borderId="24" xfId="0" applyFont="1" applyBorder="1" applyAlignment="1">
      <alignment horizontal="left" vertical="center"/>
    </xf>
    <xf numFmtId="0" fontId="11" fillId="0" borderId="14" xfId="0" applyFont="1" applyBorder="1" applyAlignment="1">
      <alignment horizontal="left" vertical="center"/>
    </xf>
    <xf numFmtId="0" fontId="11" fillId="0" borderId="31" xfId="0" applyFont="1" applyBorder="1" applyAlignment="1">
      <alignment horizontal="right" vertical="center"/>
    </xf>
    <xf numFmtId="0" fontId="11" fillId="0" borderId="43" xfId="0" applyFont="1" applyBorder="1" applyAlignment="1">
      <alignment horizontal="right" vertical="center"/>
    </xf>
    <xf numFmtId="0" fontId="11" fillId="0" borderId="18" xfId="0" applyFont="1" applyBorder="1" applyAlignment="1" applyProtection="1">
      <alignment horizontal="center" vertical="center" wrapText="1"/>
    </xf>
    <xf numFmtId="0" fontId="11" fillId="0" borderId="19" xfId="0" applyFont="1" applyBorder="1" applyAlignment="1" applyProtection="1">
      <alignment horizontal="center" vertical="center"/>
    </xf>
    <xf numFmtId="0" fontId="11" fillId="0" borderId="22" xfId="0" applyFont="1" applyBorder="1" applyAlignment="1" applyProtection="1">
      <alignment horizontal="center" vertical="center"/>
    </xf>
    <xf numFmtId="0" fontId="124" fillId="26" borderId="19" xfId="0" applyFont="1" applyFill="1" applyBorder="1" applyAlignment="1" applyProtection="1">
      <alignment horizontal="center" vertical="top" wrapText="1"/>
      <protection locked="0"/>
    </xf>
    <xf numFmtId="0" fontId="13" fillId="0" borderId="19" xfId="0" applyFont="1" applyBorder="1" applyAlignment="1">
      <alignment vertical="top" wrapText="1"/>
    </xf>
    <xf numFmtId="0" fontId="13" fillId="0" borderId="22" xfId="0" applyFont="1" applyBorder="1" applyAlignment="1">
      <alignment vertical="top" wrapText="1"/>
    </xf>
    <xf numFmtId="0" fontId="15" fillId="2" borderId="35" xfId="0" applyFont="1" applyFill="1" applyBorder="1" applyAlignment="1">
      <alignment horizontal="left" vertical="center"/>
    </xf>
    <xf numFmtId="167" fontId="45" fillId="0" borderId="9" xfId="0" applyNumberFormat="1" applyFont="1" applyBorder="1" applyAlignment="1">
      <alignment horizontal="center" vertical="center"/>
    </xf>
    <xf numFmtId="0" fontId="22" fillId="0" borderId="33" xfId="0" applyFont="1" applyBorder="1" applyAlignment="1">
      <alignment horizontal="center" vertical="center"/>
    </xf>
    <xf numFmtId="0" fontId="22" fillId="0" borderId="8" xfId="0" applyFont="1" applyBorder="1" applyAlignment="1">
      <alignment horizontal="center" vertical="center"/>
    </xf>
    <xf numFmtId="0" fontId="11" fillId="0" borderId="25" xfId="0" applyFont="1" applyBorder="1" applyAlignment="1">
      <alignment horizontal="left" vertical="center"/>
    </xf>
    <xf numFmtId="0" fontId="11" fillId="0" borderId="9" xfId="0" applyFont="1" applyBorder="1" applyAlignment="1">
      <alignment horizontal="left" vertical="center"/>
    </xf>
    <xf numFmtId="0" fontId="22" fillId="0" borderId="9" xfId="0" applyFont="1" applyBorder="1" applyAlignment="1">
      <alignment horizontal="left" vertical="center"/>
    </xf>
    <xf numFmtId="0" fontId="22" fillId="0" borderId="15" xfId="0" applyFont="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4" xfId="0" applyFont="1" applyFill="1" applyBorder="1" applyAlignment="1">
      <alignment horizontal="left" vertical="center"/>
    </xf>
    <xf numFmtId="0" fontId="11" fillId="0" borderId="25" xfId="0" applyFont="1" applyFill="1" applyBorder="1" applyAlignment="1">
      <alignment horizontal="left" vertical="center"/>
    </xf>
    <xf numFmtId="0" fontId="11" fillId="0" borderId="9" xfId="0" applyFont="1" applyFill="1" applyBorder="1" applyAlignment="1">
      <alignment horizontal="left" vertical="center"/>
    </xf>
    <xf numFmtId="0" fontId="11" fillId="0" borderId="15" xfId="0" applyFont="1" applyFill="1" applyBorder="1" applyAlignment="1">
      <alignment horizontal="left" vertical="center"/>
    </xf>
    <xf numFmtId="0" fontId="14" fillId="0" borderId="13" xfId="0" applyFont="1" applyBorder="1" applyAlignment="1">
      <alignment horizontal="left" vertical="center"/>
    </xf>
    <xf numFmtId="0" fontId="14" fillId="0" borderId="0" xfId="0" applyFont="1" applyBorder="1" applyAlignment="1">
      <alignment horizontal="left" vertical="center"/>
    </xf>
    <xf numFmtId="0" fontId="22" fillId="0" borderId="35" xfId="0" applyFont="1" applyBorder="1" applyAlignment="1">
      <alignment horizontal="center"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19" fillId="0" borderId="20" xfId="0" applyFont="1" applyBorder="1" applyAlignment="1">
      <alignment horizontal="center" vertical="center" textRotation="90" wrapText="1"/>
    </xf>
    <xf numFmtId="0" fontId="19" fillId="0" borderId="13" xfId="0" applyFont="1" applyBorder="1" applyAlignment="1">
      <alignment horizontal="center" vertical="center" textRotation="90" wrapText="1"/>
    </xf>
    <xf numFmtId="0" fontId="31" fillId="0" borderId="0" xfId="0" applyFont="1" applyBorder="1" applyAlignment="1">
      <alignment horizontal="left" vertical="top" wrapText="1"/>
    </xf>
    <xf numFmtId="0" fontId="31" fillId="0" borderId="14" xfId="0" applyFont="1" applyBorder="1" applyAlignment="1">
      <alignment horizontal="left" vertical="top" wrapText="1"/>
    </xf>
    <xf numFmtId="0" fontId="31" fillId="0" borderId="17" xfId="0" applyFont="1" applyBorder="1" applyAlignment="1">
      <alignment horizontal="left" vertical="top" wrapText="1"/>
    </xf>
    <xf numFmtId="0" fontId="31" fillId="0" borderId="23" xfId="0" applyFont="1" applyBorder="1" applyAlignment="1">
      <alignment horizontal="left" vertical="top" wrapText="1"/>
    </xf>
    <xf numFmtId="0" fontId="30" fillId="0" borderId="0" xfId="0" applyFont="1" applyBorder="1" applyAlignment="1">
      <alignment horizontal="center" vertical="center"/>
    </xf>
    <xf numFmtId="0" fontId="30" fillId="0" borderId="14" xfId="0" applyFont="1" applyBorder="1" applyAlignment="1">
      <alignment horizontal="center" vertical="center"/>
    </xf>
    <xf numFmtId="0" fontId="24" fillId="0" borderId="0" xfId="0" applyFont="1" applyBorder="1" applyAlignment="1">
      <alignment horizontal="center" vertical="center"/>
    </xf>
    <xf numFmtId="0" fontId="24" fillId="0" borderId="14" xfId="0" applyFont="1" applyBorder="1" applyAlignment="1">
      <alignment horizontal="center" vertical="center"/>
    </xf>
    <xf numFmtId="0" fontId="10" fillId="0" borderId="18" xfId="0" applyFont="1" applyBorder="1" applyAlignment="1">
      <alignment horizontal="left" vertical="center"/>
    </xf>
    <xf numFmtId="0" fontId="10" fillId="0" borderId="19" xfId="0" applyFont="1" applyBorder="1" applyAlignment="1">
      <alignment horizontal="left" vertical="center"/>
    </xf>
    <xf numFmtId="170" fontId="30" fillId="0" borderId="43" xfId="0" applyNumberFormat="1" applyFont="1" applyBorder="1" applyAlignment="1">
      <alignment horizontal="center" vertical="center"/>
    </xf>
    <xf numFmtId="170" fontId="30" fillId="0" borderId="15"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24" xfId="0" applyNumberFormat="1" applyFont="1" applyBorder="1" applyAlignment="1">
      <alignment horizontal="center" vertical="center"/>
    </xf>
    <xf numFmtId="0" fontId="24" fillId="0" borderId="19" xfId="0" applyFont="1" applyBorder="1" applyAlignment="1">
      <alignment horizontal="left" vertical="center"/>
    </xf>
    <xf numFmtId="0" fontId="24" fillId="0" borderId="22" xfId="0" applyFont="1" applyBorder="1" applyAlignment="1">
      <alignment horizontal="left" vertical="center"/>
    </xf>
    <xf numFmtId="0" fontId="30" fillId="0" borderId="25" xfId="0" applyFont="1" applyBorder="1" applyAlignment="1">
      <alignment horizontal="left" vertical="center"/>
    </xf>
    <xf numFmtId="0" fontId="30" fillId="0" borderId="9" xfId="0" applyFont="1" applyBorder="1" applyAlignment="1">
      <alignment horizontal="left" vertical="center"/>
    </xf>
    <xf numFmtId="0" fontId="30" fillId="0" borderId="15" xfId="0" applyFont="1" applyBorder="1" applyAlignment="1">
      <alignment horizontal="left" vertical="center"/>
    </xf>
    <xf numFmtId="0" fontId="30" fillId="7" borderId="0" xfId="0" applyNumberFormat="1" applyFont="1" applyFill="1" applyBorder="1" applyAlignment="1">
      <alignment horizontal="left" vertical="center"/>
    </xf>
    <xf numFmtId="0" fontId="30" fillId="7" borderId="14" xfId="0" applyNumberFormat="1" applyFont="1" applyFill="1" applyBorder="1" applyAlignment="1">
      <alignment horizontal="left" vertical="center"/>
    </xf>
    <xf numFmtId="167" fontId="30" fillId="7" borderId="0" xfId="0" applyNumberFormat="1" applyFont="1" applyFill="1" applyBorder="1" applyAlignment="1">
      <alignment horizontal="center" vertical="center"/>
    </xf>
    <xf numFmtId="167" fontId="30" fillId="7" borderId="13" xfId="0" applyNumberFormat="1" applyFont="1" applyFill="1" applyBorder="1" applyAlignment="1">
      <alignment horizontal="center" vertical="center"/>
    </xf>
    <xf numFmtId="167" fontId="30" fillId="7" borderId="14" xfId="0" applyNumberFormat="1" applyFont="1" applyFill="1" applyBorder="1" applyAlignment="1">
      <alignment horizontal="center" vertical="center"/>
    </xf>
    <xf numFmtId="0" fontId="45" fillId="13" borderId="13" xfId="0" applyFont="1" applyFill="1" applyBorder="1" applyAlignment="1">
      <alignment horizontal="left" vertical="center"/>
    </xf>
    <xf numFmtId="0" fontId="45" fillId="13" borderId="0" xfId="0" applyFont="1" applyFill="1" applyBorder="1" applyAlignment="1">
      <alignment horizontal="left" vertical="center"/>
    </xf>
    <xf numFmtId="0" fontId="45" fillId="13" borderId="14" xfId="0" applyFont="1" applyFill="1" applyBorder="1" applyAlignment="1">
      <alignment horizontal="left" vertical="center"/>
    </xf>
    <xf numFmtId="0" fontId="30" fillId="0" borderId="11" xfId="0" applyNumberFormat="1" applyFont="1" applyBorder="1" applyAlignment="1">
      <alignment horizontal="left" vertical="center"/>
    </xf>
    <xf numFmtId="0" fontId="30" fillId="0" borderId="24" xfId="0" applyNumberFormat="1" applyFont="1" applyBorder="1" applyAlignment="1">
      <alignment horizontal="left" vertical="center"/>
    </xf>
    <xf numFmtId="167" fontId="30" fillId="0" borderId="11" xfId="0" applyNumberFormat="1" applyFont="1" applyBorder="1" applyAlignment="1">
      <alignment horizontal="center" vertical="center"/>
    </xf>
    <xf numFmtId="167" fontId="30" fillId="0" borderId="13" xfId="0" applyNumberFormat="1" applyFont="1" applyBorder="1" applyAlignment="1">
      <alignment horizontal="center" vertical="center"/>
    </xf>
    <xf numFmtId="167" fontId="30" fillId="0" borderId="14" xfId="0" applyNumberFormat="1" applyFont="1" applyBorder="1" applyAlignment="1">
      <alignment horizontal="center" vertical="center"/>
    </xf>
    <xf numFmtId="0" fontId="11" fillId="0" borderId="22" xfId="0" applyFont="1" applyBorder="1" applyAlignment="1">
      <alignment horizontal="left" vertical="center"/>
    </xf>
    <xf numFmtId="4" fontId="45" fillId="12" borderId="0" xfId="0" applyNumberFormat="1" applyFont="1" applyFill="1"/>
    <xf numFmtId="0" fontId="45" fillId="12" borderId="0" xfId="0" applyFont="1" applyFill="1"/>
    <xf numFmtId="0" fontId="30" fillId="7" borderId="0" xfId="0" applyFont="1" applyFill="1" applyBorder="1" applyAlignment="1">
      <alignment horizontal="left" vertical="center"/>
    </xf>
    <xf numFmtId="0" fontId="30" fillId="7" borderId="14" xfId="0" applyFont="1" applyFill="1" applyBorder="1" applyAlignment="1">
      <alignment horizontal="left" vertical="center"/>
    </xf>
    <xf numFmtId="0" fontId="30" fillId="7" borderId="25" xfId="0" applyNumberFormat="1" applyFont="1" applyFill="1" applyBorder="1" applyAlignment="1">
      <alignment horizontal="left" vertical="center"/>
    </xf>
    <xf numFmtId="0" fontId="30" fillId="7" borderId="9" xfId="0" applyNumberFormat="1" applyFont="1" applyFill="1" applyBorder="1" applyAlignment="1">
      <alignment horizontal="left" vertical="center"/>
    </xf>
    <xf numFmtId="0" fontId="30" fillId="7" borderId="15" xfId="0" applyNumberFormat="1" applyFont="1" applyFill="1" applyBorder="1" applyAlignment="1">
      <alignment horizontal="left" vertical="center"/>
    </xf>
    <xf numFmtId="167" fontId="30" fillId="7" borderId="9" xfId="0" applyNumberFormat="1" applyFont="1" applyFill="1" applyBorder="1" applyAlignment="1">
      <alignment horizontal="center" vertical="center"/>
    </xf>
    <xf numFmtId="167" fontId="30" fillId="7" borderId="25" xfId="0" applyNumberFormat="1" applyFont="1" applyFill="1" applyBorder="1" applyAlignment="1">
      <alignment horizontal="center" vertical="center"/>
    </xf>
    <xf numFmtId="167" fontId="30" fillId="7" borderId="15" xfId="0" applyNumberFormat="1" applyFont="1" applyFill="1" applyBorder="1" applyAlignment="1">
      <alignment horizontal="center" vertical="center"/>
    </xf>
    <xf numFmtId="0" fontId="24" fillId="7" borderId="9" xfId="0" applyFont="1" applyFill="1" applyBorder="1" applyAlignment="1">
      <alignment horizontal="left" vertical="center"/>
    </xf>
    <xf numFmtId="0" fontId="24" fillId="7" borderId="15" xfId="0" applyFont="1" applyFill="1" applyBorder="1" applyAlignment="1">
      <alignment horizontal="left" vertical="center"/>
    </xf>
    <xf numFmtId="0" fontId="11" fillId="0" borderId="8" xfId="0" applyFont="1" applyBorder="1" applyAlignment="1">
      <alignment horizontal="center" vertical="center"/>
    </xf>
    <xf numFmtId="0" fontId="24" fillId="7" borderId="0" xfId="0" applyFont="1" applyFill="1" applyBorder="1" applyAlignment="1">
      <alignment horizontal="left" vertical="center"/>
    </xf>
    <xf numFmtId="0" fontId="24" fillId="7" borderId="14" xfId="0" applyFont="1" applyFill="1" applyBorder="1" applyAlignment="1">
      <alignment horizontal="left" vertical="center"/>
    </xf>
    <xf numFmtId="0" fontId="15" fillId="0" borderId="19" xfId="0" applyFont="1" applyFill="1" applyBorder="1" applyAlignment="1">
      <alignment horizontal="center" vertical="center"/>
    </xf>
    <xf numFmtId="0" fontId="15" fillId="0" borderId="22" xfId="0" applyFont="1" applyFill="1" applyBorder="1" applyAlignment="1">
      <alignment horizontal="center" vertical="center"/>
    </xf>
    <xf numFmtId="0" fontId="22" fillId="0" borderId="43" xfId="0" applyFont="1" applyBorder="1" applyAlignment="1">
      <alignment horizontal="left" vertical="center"/>
    </xf>
    <xf numFmtId="0" fontId="22" fillId="0" borderId="32" xfId="0" applyFont="1" applyBorder="1" applyAlignment="1">
      <alignment horizontal="left" vertical="center"/>
    </xf>
    <xf numFmtId="0" fontId="11" fillId="0" borderId="31" xfId="0" applyFont="1" applyBorder="1" applyAlignment="1">
      <alignment horizontal="center" vertical="center"/>
    </xf>
    <xf numFmtId="0" fontId="11" fillId="0" borderId="43" xfId="0" applyFont="1" applyBorder="1" applyAlignment="1">
      <alignment horizontal="center" vertical="center"/>
    </xf>
    <xf numFmtId="0" fontId="35" fillId="0" borderId="17" xfId="0" applyFont="1" applyBorder="1" applyAlignment="1">
      <alignment horizontal="left" vertical="center"/>
    </xf>
    <xf numFmtId="167" fontId="30" fillId="0" borderId="20" xfId="0" applyNumberFormat="1" applyFont="1" applyBorder="1" applyAlignment="1">
      <alignment horizontal="center" vertical="center"/>
    </xf>
    <xf numFmtId="167" fontId="30" fillId="0" borderId="24" xfId="0" applyNumberFormat="1" applyFont="1" applyBorder="1" applyAlignment="1">
      <alignment horizontal="center" vertical="center"/>
    </xf>
    <xf numFmtId="167" fontId="31" fillId="2" borderId="8" xfId="0" applyNumberFormat="1"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2" xfId="0" applyFont="1" applyBorder="1" applyAlignment="1">
      <alignment horizontal="center" vertical="center"/>
    </xf>
    <xf numFmtId="167" fontId="17" fillId="0" borderId="20" xfId="0" applyNumberFormat="1" applyFont="1" applyFill="1" applyBorder="1" applyAlignment="1">
      <alignment horizontal="center" vertical="center"/>
    </xf>
    <xf numFmtId="167" fontId="17" fillId="0" borderId="24" xfId="0" applyNumberFormat="1" applyFont="1" applyFill="1" applyBorder="1" applyAlignment="1">
      <alignment horizontal="center" vertical="center"/>
    </xf>
    <xf numFmtId="167" fontId="17" fillId="0" borderId="0" xfId="0" applyNumberFormat="1" applyFont="1" applyFill="1" applyBorder="1" applyAlignment="1">
      <alignment horizontal="center" vertical="center"/>
    </xf>
    <xf numFmtId="167" fontId="17" fillId="0" borderId="14" xfId="0" applyNumberFormat="1" applyFont="1" applyFill="1" applyBorder="1" applyAlignment="1">
      <alignment horizontal="center" vertical="center"/>
    </xf>
    <xf numFmtId="167" fontId="17" fillId="0" borderId="9" xfId="0" applyNumberFormat="1" applyFont="1" applyFill="1" applyBorder="1" applyAlignment="1">
      <alignment horizontal="center" vertical="center"/>
    </xf>
    <xf numFmtId="167" fontId="17" fillId="0" borderId="15" xfId="0" applyNumberFormat="1" applyFont="1" applyFill="1" applyBorder="1" applyAlignment="1">
      <alignment horizontal="center" vertical="center"/>
    </xf>
    <xf numFmtId="10" fontId="30" fillId="0" borderId="0" xfId="9" applyNumberFormat="1" applyFont="1" applyBorder="1" applyAlignment="1">
      <alignment horizontal="center" vertical="center"/>
    </xf>
    <xf numFmtId="10" fontId="30" fillId="0" borderId="14" xfId="9" applyNumberFormat="1" applyFont="1" applyBorder="1" applyAlignment="1">
      <alignment horizontal="center" vertical="center"/>
    </xf>
    <xf numFmtId="10" fontId="30" fillId="0" borderId="9" xfId="9" applyNumberFormat="1" applyFont="1" applyBorder="1" applyAlignment="1">
      <alignment horizontal="center" vertical="center"/>
    </xf>
    <xf numFmtId="10" fontId="30" fillId="0" borderId="15" xfId="9" applyNumberFormat="1" applyFont="1" applyBorder="1" applyAlignment="1">
      <alignment horizontal="center" vertical="center"/>
    </xf>
    <xf numFmtId="167" fontId="30" fillId="0" borderId="25" xfId="0" applyNumberFormat="1" applyFont="1" applyBorder="1" applyAlignment="1">
      <alignment horizontal="center" vertical="center"/>
    </xf>
    <xf numFmtId="167" fontId="30" fillId="0" borderId="15" xfId="0" applyNumberFormat="1" applyFont="1" applyBorder="1" applyAlignment="1">
      <alignment horizontal="center" vertical="center"/>
    </xf>
    <xf numFmtId="10" fontId="30" fillId="0" borderId="11" xfId="9" applyNumberFormat="1" applyFont="1" applyBorder="1" applyAlignment="1">
      <alignment horizontal="center" vertical="center"/>
    </xf>
    <xf numFmtId="10" fontId="30" fillId="0" borderId="24" xfId="9" applyNumberFormat="1" applyFont="1" applyBorder="1" applyAlignment="1">
      <alignment horizontal="center" vertical="center"/>
    </xf>
    <xf numFmtId="167" fontId="46" fillId="2" borderId="8" xfId="0" applyNumberFormat="1" applyFont="1" applyFill="1" applyBorder="1" applyAlignment="1">
      <alignment horizontal="center" vertical="center"/>
    </xf>
    <xf numFmtId="0" fontId="15" fillId="0" borderId="25" xfId="0" applyFont="1" applyFill="1" applyBorder="1" applyAlignment="1">
      <alignment horizontal="left" vertical="center"/>
    </xf>
    <xf numFmtId="0" fontId="15" fillId="0" borderId="9" xfId="0" applyFont="1" applyFill="1" applyBorder="1" applyAlignment="1">
      <alignment horizontal="left" vertical="center"/>
    </xf>
    <xf numFmtId="167" fontId="47" fillId="0" borderId="31" xfId="0" applyNumberFormat="1" applyFont="1" applyBorder="1" applyAlignment="1">
      <alignment horizontal="center" vertical="center"/>
    </xf>
    <xf numFmtId="167" fontId="47" fillId="0" borderId="32" xfId="0" applyNumberFormat="1" applyFont="1" applyBorder="1" applyAlignment="1">
      <alignment horizontal="center" vertical="center"/>
    </xf>
    <xf numFmtId="0" fontId="11" fillId="0" borderId="2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24" xfId="0" applyFont="1" applyFill="1" applyBorder="1" applyAlignment="1">
      <alignment horizontal="left" vertical="center"/>
    </xf>
    <xf numFmtId="167" fontId="31" fillId="0" borderId="25" xfId="0" applyNumberFormat="1" applyFont="1" applyFill="1" applyBorder="1" applyAlignment="1">
      <alignment horizontal="center" vertical="center"/>
    </xf>
    <xf numFmtId="167" fontId="31" fillId="0" borderId="15" xfId="0" applyNumberFormat="1" applyFont="1" applyFill="1" applyBorder="1" applyAlignment="1">
      <alignment horizontal="center" vertical="center"/>
    </xf>
    <xf numFmtId="167" fontId="31" fillId="0" borderId="9" xfId="0" applyNumberFormat="1" applyFont="1" applyFill="1" applyBorder="1" applyAlignment="1">
      <alignment horizontal="center" vertical="center"/>
    </xf>
    <xf numFmtId="167" fontId="33" fillId="0" borderId="31" xfId="0" applyNumberFormat="1" applyFont="1" applyBorder="1" applyAlignment="1">
      <alignment horizontal="center" vertical="center"/>
    </xf>
    <xf numFmtId="167" fontId="33" fillId="0" borderId="32" xfId="0" applyNumberFormat="1" applyFont="1" applyBorder="1" applyAlignment="1">
      <alignment horizontal="center" vertical="center"/>
    </xf>
    <xf numFmtId="167" fontId="31" fillId="0" borderId="25" xfId="0" applyNumberFormat="1" applyFont="1" applyBorder="1" applyAlignment="1">
      <alignment horizontal="center" vertical="center"/>
    </xf>
    <xf numFmtId="167" fontId="31" fillId="0" borderId="15" xfId="0" applyNumberFormat="1" applyFont="1" applyBorder="1" applyAlignment="1">
      <alignment horizontal="center" vertical="center"/>
    </xf>
    <xf numFmtId="187" fontId="30" fillId="0" borderId="31" xfId="0" applyNumberFormat="1" applyFont="1" applyBorder="1" applyAlignment="1">
      <alignment horizontal="center" vertical="center"/>
    </xf>
    <xf numFmtId="187" fontId="30" fillId="0" borderId="32" xfId="0" applyNumberFormat="1" applyFont="1" applyBorder="1" applyAlignment="1">
      <alignment horizontal="center" vertical="center"/>
    </xf>
    <xf numFmtId="167" fontId="31" fillId="2" borderId="21" xfId="0" applyNumberFormat="1" applyFont="1" applyFill="1" applyBorder="1" applyAlignment="1">
      <alignment horizontal="center" vertical="center"/>
    </xf>
    <xf numFmtId="167" fontId="31" fillId="2" borderId="23" xfId="0" applyNumberFormat="1" applyFont="1" applyFill="1" applyBorder="1" applyAlignment="1">
      <alignment horizontal="center" vertical="center"/>
    </xf>
    <xf numFmtId="167" fontId="30" fillId="0" borderId="21" xfId="0" applyNumberFormat="1" applyFont="1" applyFill="1" applyBorder="1" applyAlignment="1">
      <alignment horizontal="center" vertical="center"/>
    </xf>
    <xf numFmtId="167" fontId="30" fillId="0" borderId="23" xfId="0" applyNumberFormat="1" applyFont="1" applyFill="1" applyBorder="1" applyAlignment="1">
      <alignment horizontal="center" vertical="center"/>
    </xf>
    <xf numFmtId="10" fontId="30" fillId="0" borderId="18" xfId="0" applyNumberFormat="1" applyFont="1" applyBorder="1" applyAlignment="1">
      <alignment horizontal="center" vertical="center"/>
    </xf>
    <xf numFmtId="10" fontId="30" fillId="0" borderId="22" xfId="0" applyNumberFormat="1" applyFont="1" applyBorder="1" applyAlignment="1">
      <alignment horizontal="center" vertical="center"/>
    </xf>
    <xf numFmtId="10" fontId="30" fillId="0" borderId="31" xfId="0" applyNumberFormat="1" applyFont="1" applyBorder="1" applyAlignment="1">
      <alignment horizontal="center" vertical="center"/>
    </xf>
    <xf numFmtId="10" fontId="30" fillId="0" borderId="32" xfId="0" applyNumberFormat="1" applyFont="1" applyBorder="1" applyAlignment="1">
      <alignment horizontal="center" vertical="center"/>
    </xf>
    <xf numFmtId="10" fontId="30" fillId="0" borderId="21" xfId="0" applyNumberFormat="1" applyFont="1" applyBorder="1" applyAlignment="1">
      <alignment horizontal="center" vertical="center"/>
    </xf>
    <xf numFmtId="10" fontId="30" fillId="0" borderId="23" xfId="0" applyNumberFormat="1" applyFont="1" applyBorder="1" applyAlignment="1">
      <alignment horizontal="center" vertical="center"/>
    </xf>
    <xf numFmtId="167" fontId="30" fillId="0" borderId="31" xfId="0" applyNumberFormat="1" applyFont="1" applyBorder="1" applyAlignment="1">
      <alignment horizontal="center" vertical="center"/>
    </xf>
    <xf numFmtId="167" fontId="30" fillId="0" borderId="32" xfId="0" applyNumberFormat="1" applyFont="1" applyBorder="1" applyAlignment="1">
      <alignment horizontal="center" vertical="center"/>
    </xf>
    <xf numFmtId="167" fontId="31" fillId="2" borderId="18" xfId="0" applyNumberFormat="1" applyFont="1" applyFill="1" applyBorder="1" applyAlignment="1">
      <alignment horizontal="center" vertical="center"/>
    </xf>
    <xf numFmtId="167" fontId="31" fillId="2" borderId="22" xfId="0" applyNumberFormat="1" applyFont="1" applyFill="1" applyBorder="1" applyAlignment="1">
      <alignment horizontal="center" vertical="center"/>
    </xf>
    <xf numFmtId="4" fontId="24" fillId="12" borderId="0" xfId="0" applyNumberFormat="1" applyFont="1" applyFill="1"/>
    <xf numFmtId="0" fontId="24" fillId="12" borderId="0" xfId="0" applyFont="1" applyFill="1"/>
    <xf numFmtId="0" fontId="24" fillId="13" borderId="13" xfId="0" applyFont="1" applyFill="1" applyBorder="1" applyAlignment="1">
      <alignment horizontal="left" vertical="center"/>
    </xf>
    <xf numFmtId="0" fontId="24" fillId="13" borderId="0" xfId="0" applyFont="1" applyFill="1" applyBorder="1" applyAlignment="1">
      <alignment horizontal="left" vertical="center"/>
    </xf>
    <xf numFmtId="0" fontId="24" fillId="13" borderId="14" xfId="0" applyFont="1" applyFill="1" applyBorder="1" applyAlignment="1">
      <alignment horizontal="left" vertical="center"/>
    </xf>
    <xf numFmtId="167" fontId="31" fillId="2" borderId="5" xfId="0" applyNumberFormat="1" applyFont="1" applyFill="1" applyBorder="1" applyAlignment="1">
      <alignment horizontal="center" vertical="center"/>
    </xf>
    <xf numFmtId="167" fontId="31" fillId="2" borderId="45" xfId="0" applyNumberFormat="1" applyFont="1" applyFill="1" applyBorder="1" applyAlignment="1">
      <alignment horizontal="center" vertical="center"/>
    </xf>
    <xf numFmtId="0" fontId="19" fillId="0" borderId="18" xfId="0" applyFont="1" applyBorder="1" applyAlignment="1">
      <alignment horizontal="center" vertical="center" wrapText="1"/>
    </xf>
    <xf numFmtId="0" fontId="19" fillId="0" borderId="22" xfId="0" applyFont="1" applyBorder="1" applyAlignment="1">
      <alignment horizontal="center" vertical="center" wrapText="1"/>
    </xf>
    <xf numFmtId="167" fontId="17" fillId="0" borderId="11"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21" fillId="0" borderId="0" xfId="0" applyFont="1" applyBorder="1" applyAlignment="1">
      <alignment horizontal="left" vertical="center"/>
    </xf>
    <xf numFmtId="0" fontId="21" fillId="0" borderId="14" xfId="0" applyFont="1" applyBorder="1" applyAlignment="1">
      <alignment horizontal="left" vertical="center"/>
    </xf>
    <xf numFmtId="187" fontId="30" fillId="0" borderId="13" xfId="0" applyNumberFormat="1" applyFont="1" applyBorder="1" applyAlignment="1">
      <alignment horizontal="center" vertical="center"/>
    </xf>
    <xf numFmtId="187" fontId="30" fillId="0" borderId="14" xfId="0" applyNumberFormat="1" applyFont="1" applyBorder="1" applyAlignment="1">
      <alignment horizontal="center" vertical="center"/>
    </xf>
    <xf numFmtId="167" fontId="30" fillId="0" borderId="13" xfId="0" applyNumberFormat="1" applyFont="1" applyFill="1" applyBorder="1" applyAlignment="1">
      <alignment horizontal="center" vertical="center"/>
    </xf>
    <xf numFmtId="167" fontId="30" fillId="0" borderId="14" xfId="0" applyNumberFormat="1" applyFont="1" applyFill="1" applyBorder="1" applyAlignment="1">
      <alignment horizontal="center" vertical="center"/>
    </xf>
    <xf numFmtId="0" fontId="30" fillId="0" borderId="0" xfId="0" applyNumberFormat="1" applyFont="1" applyFill="1" applyBorder="1" applyAlignment="1">
      <alignment horizontal="left" vertical="center"/>
    </xf>
    <xf numFmtId="0" fontId="11" fillId="0" borderId="14" xfId="0" applyFont="1" applyBorder="1" applyAlignment="1">
      <alignment horizontal="center" vertical="center"/>
    </xf>
    <xf numFmtId="0" fontId="49" fillId="0" borderId="11" xfId="0" applyNumberFormat="1" applyFont="1" applyBorder="1" applyAlignment="1">
      <alignment horizontal="left" vertical="center"/>
    </xf>
  </cellXfs>
  <cellStyles count="25">
    <cellStyle name="DATUM" xfId="1" xr:uid="{00000000-0005-0000-0000-000000000000}"/>
    <cellStyle name="Euro" xfId="2" xr:uid="{00000000-0005-0000-0000-000001000000}"/>
    <cellStyle name="FEST" xfId="3" xr:uid="{00000000-0005-0000-0000-000002000000}"/>
    <cellStyle name="Gesamt" xfId="4" xr:uid="{00000000-0005-0000-0000-000003000000}"/>
    <cellStyle name="Komma" xfId="5" builtinId="3"/>
    <cellStyle name="Komma 3 2" xfId="17" xr:uid="{EDE968DE-0235-4522-B764-69F8C9DB855A}"/>
    <cellStyle name="Komma0" xfId="6" xr:uid="{00000000-0005-0000-0000-000005000000}"/>
    <cellStyle name="KOPFZEILE1" xfId="7" xr:uid="{00000000-0005-0000-0000-000006000000}"/>
    <cellStyle name="KOPFZEILE2" xfId="8" xr:uid="{00000000-0005-0000-0000-000007000000}"/>
    <cellStyle name="Link" xfId="20" builtinId="8"/>
    <cellStyle name="Link 2" xfId="24" xr:uid="{89654F43-36AD-421A-98CC-661C58AACE7F}"/>
    <cellStyle name="Prozent" xfId="9" builtinId="5"/>
    <cellStyle name="Prozent 2 2" xfId="23" xr:uid="{59C174CF-9343-4129-A5AF-6F52E1ED7D23}"/>
    <cellStyle name="Prozent 3 2" xfId="18" xr:uid="{0F4CE27C-D905-430D-A06E-60E344F09D9F}"/>
    <cellStyle name="Standard" xfId="0" builtinId="0"/>
    <cellStyle name="Standard 2" xfId="10" xr:uid="{00000000-0005-0000-0000-00000A000000}"/>
    <cellStyle name="Standard 2 3" xfId="21" xr:uid="{B0F8190D-463B-4DD5-863B-3DC4CD6C7D69}"/>
    <cellStyle name="Standard 3" xfId="22" xr:uid="{B611DAB4-DE67-4FB9-B2F7-BFA4CB639E90}"/>
    <cellStyle name="Standard 4 2" xfId="16" xr:uid="{B0A72ADE-F025-418F-8A47-89D3210A8CFB}"/>
    <cellStyle name="Standard 6 2" xfId="19" xr:uid="{11C9E74C-4E87-4145-BFC3-E2A2E2E31E1E}"/>
    <cellStyle name="SUMME" xfId="11" xr:uid="{00000000-0005-0000-0000-00000B000000}"/>
    <cellStyle name="Währung" xfId="15" builtinId="4"/>
    <cellStyle name="Währung0" xfId="12" xr:uid="{00000000-0005-0000-0000-00000C000000}"/>
    <cellStyle name="Zeile 1" xfId="13" xr:uid="{00000000-0005-0000-0000-00000D000000}"/>
    <cellStyle name="Zeile 2" xfId="14" xr:uid="{00000000-0005-0000-0000-00000E000000}"/>
  </cellStyles>
  <dxfs count="186">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strike val="0"/>
        <color rgb="FFFF0000"/>
      </font>
      <fill>
        <patternFill>
          <bgColor theme="0" tint="-0.14996795556505021"/>
        </patternFill>
      </fill>
    </dxf>
    <dxf>
      <font>
        <color theme="1"/>
      </font>
      <fill>
        <patternFill>
          <bgColor theme="1"/>
        </patternFill>
      </fill>
    </dxf>
    <dxf>
      <font>
        <color theme="0"/>
      </font>
    </dxf>
    <dxf>
      <font>
        <color theme="0"/>
      </font>
      <fill>
        <patternFill patternType="lightUp">
          <fgColor theme="0" tint="-0.499984740745262"/>
        </patternFill>
      </fill>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strike val="0"/>
      </font>
    </dxf>
    <dxf>
      <font>
        <b/>
        <i val="0"/>
        <strike val="0"/>
      </font>
    </dxf>
    <dxf>
      <font>
        <b/>
        <i val="0"/>
      </font>
    </dxf>
    <dxf>
      <font>
        <color theme="0"/>
      </font>
      <border>
        <left style="thin">
          <color theme="0"/>
        </left>
        <vertical/>
        <horizontal/>
      </border>
    </dxf>
    <dxf>
      <border>
        <top style="thin">
          <color theme="0"/>
        </top>
        <bottom style="thin">
          <color theme="0"/>
        </bottom>
        <vertical/>
        <horizontal/>
      </border>
    </dxf>
    <dxf>
      <font>
        <color theme="0"/>
      </font>
      <border>
        <left style="thin">
          <color theme="0"/>
        </left>
        <right style="thin">
          <color theme="0"/>
        </right>
        <vertical/>
        <horizontal/>
      </border>
    </dxf>
    <dxf>
      <font>
        <strike/>
        <color rgb="FFFF0000"/>
      </font>
      <fill>
        <patternFill>
          <bgColor theme="0" tint="-0.14996795556505021"/>
        </patternFill>
      </fill>
    </dxf>
    <dxf>
      <font>
        <color rgb="FFFF0000"/>
      </font>
    </dxf>
    <dxf>
      <font>
        <color theme="0"/>
      </font>
    </dxf>
    <dxf>
      <font>
        <color theme="1"/>
      </font>
      <fill>
        <patternFill>
          <bgColor theme="1"/>
        </patternFill>
      </fill>
    </dxf>
    <dxf>
      <font>
        <b/>
        <i val="0"/>
        <strike val="0"/>
      </font>
    </dxf>
    <dxf>
      <font>
        <b/>
        <i val="0"/>
      </font>
    </dxf>
    <dxf>
      <font>
        <b/>
        <i val="0"/>
        <strike val="0"/>
      </font>
    </dxf>
    <dxf>
      <font>
        <b/>
        <i val="0"/>
        <strike val="0"/>
      </font>
    </dxf>
    <dxf>
      <font>
        <color theme="0"/>
      </font>
      <border>
        <left style="thin">
          <color theme="0"/>
        </left>
        <vertical/>
        <horizontal/>
      </border>
    </dxf>
    <dxf>
      <border>
        <top/>
        <bottom/>
        <vertical/>
        <horizontal/>
      </border>
    </dxf>
    <dxf>
      <font>
        <color theme="0"/>
      </font>
      <border>
        <left style="thin">
          <color theme="0"/>
        </left>
        <right style="thin">
          <color theme="0"/>
        </right>
        <vertical/>
        <horizontal/>
      </border>
    </dxf>
    <dxf>
      <font>
        <strike/>
        <color rgb="FFFF0000"/>
      </font>
    </dxf>
    <dxf>
      <font>
        <color rgb="FFFF0000"/>
      </font>
    </dxf>
    <dxf>
      <font>
        <color theme="0"/>
      </font>
    </dxf>
    <dxf>
      <font>
        <b/>
        <i val="0"/>
        <strike val="0"/>
        <color theme="1"/>
      </font>
      <fill>
        <patternFill>
          <bgColor theme="1"/>
        </patternFill>
      </fill>
    </dxf>
    <dxf>
      <font>
        <b/>
        <i val="0"/>
        <strike val="0"/>
      </font>
    </dxf>
    <dxf>
      <font>
        <b/>
        <i val="0"/>
      </font>
    </dxf>
    <dxf>
      <font>
        <b/>
        <i val="0"/>
        <strike val="0"/>
      </font>
    </dxf>
    <dxf>
      <font>
        <b/>
        <i val="0"/>
        <strike val="0"/>
      </font>
    </dxf>
    <dxf>
      <font>
        <color rgb="FFFF0000"/>
      </font>
    </dxf>
    <dxf>
      <font>
        <color auto="1"/>
      </font>
      <fill>
        <patternFill>
          <bgColor theme="1"/>
        </patternFill>
      </fill>
      <border>
        <left style="thin">
          <color auto="1"/>
        </left>
        <right style="thin">
          <color auto="1"/>
        </right>
        <top style="thin">
          <color auto="1"/>
        </top>
        <bottom style="thin">
          <color auto="1"/>
        </bottom>
        <vertical/>
        <horizontal/>
      </border>
    </dxf>
    <dxf>
      <font>
        <color theme="0"/>
      </font>
      <border>
        <left style="thin">
          <color theme="0"/>
        </left>
        <right style="thin">
          <color theme="0"/>
        </right>
        <bottom style="thin">
          <color theme="0"/>
        </bottom>
        <vertical/>
        <horizontal/>
      </border>
    </dxf>
    <dxf>
      <font>
        <color rgb="FFFF0000"/>
      </font>
    </dxf>
    <dxf>
      <font>
        <color theme="1"/>
      </font>
      <fill>
        <patternFill>
          <bgColor theme="1"/>
        </patternFill>
      </fill>
    </dxf>
    <dxf>
      <font>
        <color theme="0"/>
      </font>
    </dxf>
    <dxf>
      <font>
        <color theme="0"/>
      </font>
    </dxf>
    <dxf>
      <font>
        <color theme="0"/>
      </font>
      <fill>
        <patternFill>
          <bgColor theme="0"/>
        </patternFill>
      </fill>
    </dxf>
    <dxf>
      <font>
        <color theme="0"/>
      </font>
      <fill>
        <patternFill>
          <bgColor theme="0"/>
        </patternFill>
      </fill>
    </dxf>
    <dxf>
      <font>
        <b val="0"/>
        <i val="0"/>
        <color theme="0" tint="-4.9989318521683403E-2"/>
      </font>
      <fill>
        <patternFill patternType="lightUp">
          <fgColor theme="0" tint="-0.499984740745262"/>
          <bgColor theme="0" tint="-4.9989318521683403E-2"/>
        </patternFill>
      </fill>
      <border>
        <vertical/>
        <horizontal/>
      </border>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FF0000"/>
      </font>
    </dxf>
    <dxf>
      <font>
        <color theme="0"/>
      </font>
      <fill>
        <patternFill>
          <bgColor theme="0"/>
        </patternFill>
      </fill>
    </dxf>
    <dxf>
      <font>
        <color rgb="FFFF0000"/>
      </font>
      <fill>
        <patternFill>
          <bgColor rgb="FFFFFF00"/>
        </patternFill>
      </fill>
    </dxf>
    <dxf>
      <font>
        <color rgb="FFFF0000"/>
      </font>
    </dxf>
    <dxf>
      <font>
        <color rgb="FFFF0000"/>
      </font>
    </dxf>
    <dxf>
      <font>
        <color rgb="FFFF0000"/>
      </font>
    </dxf>
    <dxf>
      <font>
        <color rgb="FFFF0000"/>
      </font>
    </dxf>
    <dxf>
      <font>
        <b/>
        <i val="0"/>
      </font>
    </dxf>
    <dxf>
      <font>
        <b/>
        <i val="0"/>
      </font>
    </dxf>
    <dxf>
      <font>
        <b/>
        <i val="0"/>
      </font>
    </dxf>
    <dxf>
      <font>
        <b/>
        <i val="0"/>
      </font>
    </dxf>
    <dxf>
      <font>
        <b/>
        <i val="0"/>
      </font>
    </dxf>
    <dxf>
      <font>
        <b/>
        <i val="0"/>
      </font>
    </dxf>
    <dxf>
      <font>
        <b/>
        <i val="0"/>
      </font>
    </dxf>
    <dxf>
      <font>
        <b/>
        <i val="0"/>
      </font>
    </dxf>
    <dxf>
      <font>
        <b/>
        <i val="0"/>
      </font>
    </dxf>
    <dxf>
      <font>
        <color rgb="FFC00000"/>
      </font>
    </dxf>
    <dxf>
      <font>
        <color theme="0"/>
      </font>
    </dxf>
    <dxf>
      <font>
        <color theme="0"/>
      </font>
    </dxf>
    <dxf>
      <font>
        <color theme="0"/>
      </font>
    </dxf>
    <dxf>
      <font>
        <color theme="0"/>
      </font>
    </dxf>
    <dxf>
      <font>
        <color theme="0"/>
      </font>
    </dxf>
    <dxf>
      <font>
        <strike val="0"/>
        <color theme="0"/>
      </font>
    </dxf>
    <dxf>
      <font>
        <color rgb="FFC00000"/>
      </font>
    </dxf>
    <dxf>
      <font>
        <color theme="0"/>
      </font>
    </dxf>
    <dxf>
      <font>
        <color theme="0"/>
      </font>
    </dxf>
    <dxf>
      <font>
        <color theme="0"/>
      </font>
    </dxf>
    <dxf>
      <font>
        <color theme="0"/>
      </font>
    </dxf>
    <dxf>
      <font>
        <color theme="0"/>
      </font>
    </dxf>
    <dxf>
      <font>
        <strike val="0"/>
        <color theme="0"/>
      </font>
    </dxf>
    <dxf>
      <font>
        <color rgb="FFFF0000"/>
      </font>
    </dxf>
    <dxf>
      <font>
        <color rgb="FFC00000"/>
      </font>
    </dxf>
    <dxf>
      <font>
        <color rgb="FFC00000"/>
      </font>
    </dxf>
    <dxf>
      <font>
        <b/>
        <i val="0"/>
        <color rgb="FFC00000"/>
      </font>
    </dxf>
    <dxf>
      <font>
        <color theme="0"/>
      </font>
    </dxf>
    <dxf>
      <font>
        <color theme="0"/>
      </font>
    </dxf>
    <dxf>
      <font>
        <color theme="0"/>
      </font>
    </dxf>
    <dxf>
      <font>
        <color theme="0"/>
      </font>
    </dxf>
    <dxf>
      <font>
        <color theme="0"/>
      </font>
    </dxf>
    <dxf>
      <font>
        <color theme="0"/>
      </font>
    </dxf>
    <dxf>
      <font>
        <b/>
        <i val="0"/>
      </font>
    </dxf>
    <dxf>
      <font>
        <b/>
        <i val="0"/>
      </font>
    </dxf>
    <dxf>
      <font>
        <b/>
        <i val="0"/>
      </font>
    </dxf>
    <dxf>
      <font>
        <color theme="0"/>
      </font>
    </dxf>
    <dxf>
      <font>
        <color theme="0"/>
      </font>
    </dxf>
    <dxf>
      <font>
        <color theme="0"/>
      </font>
    </dxf>
    <dxf>
      <font>
        <color theme="0"/>
      </font>
    </dxf>
    <dxf>
      <font>
        <color rgb="FFFF0000"/>
      </font>
    </dxf>
    <dxf>
      <font>
        <color theme="0" tint="-0.34998626667073579"/>
      </font>
    </dxf>
    <dxf>
      <font>
        <color theme="0" tint="-0.34998626667073579"/>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patternType="lightGray">
          <fgColor rgb="FFEF9A8F"/>
          <bgColor rgb="FFFF0000"/>
        </patternFill>
      </fill>
    </dxf>
    <dxf>
      <font>
        <b/>
        <i val="0"/>
      </font>
      <fill>
        <patternFill patternType="lightGray">
          <fgColor rgb="FFEF9A8F"/>
          <bgColor rgb="FFFF0000"/>
        </patternFill>
      </fill>
    </dxf>
    <dxf>
      <font>
        <color rgb="FFFF0000"/>
      </font>
      <border>
        <left style="thin">
          <color auto="1"/>
        </left>
        <right style="thin">
          <color auto="1"/>
        </right>
        <top style="thin">
          <color auto="1"/>
        </top>
        <bottom style="thin">
          <color auto="1"/>
        </bottom>
        <vertical/>
        <horizontal/>
      </border>
    </dxf>
    <dxf>
      <font>
        <b/>
        <i val="0"/>
        <color theme="1"/>
      </font>
      <fill>
        <patternFill patternType="gray125">
          <fgColor theme="5" tint="0.59996337778862885"/>
          <bgColor theme="5" tint="0.59996337778862885"/>
        </patternFill>
      </fill>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rgb="FFFF0000"/>
      </font>
    </dxf>
    <dxf>
      <font>
        <color theme="0"/>
      </font>
      <fill>
        <patternFill>
          <bgColor theme="0"/>
        </patternFill>
      </fill>
      <border>
        <left/>
        <right/>
        <top/>
        <bottom/>
        <vertical/>
        <horizontal/>
      </border>
    </dxf>
    <dxf>
      <fill>
        <patternFill>
          <bgColor theme="5" tint="0.59996337778862885"/>
        </patternFill>
      </fill>
    </dxf>
    <dxf>
      <font>
        <b/>
        <i val="0"/>
        <color rgb="FFFF0000"/>
      </font>
    </dxf>
    <dxf>
      <font>
        <color theme="0"/>
      </font>
      <fill>
        <patternFill>
          <bgColor theme="0"/>
        </patternFill>
      </fill>
    </dxf>
    <dxf>
      <font>
        <color rgb="FF00B050"/>
      </font>
    </dxf>
    <dxf>
      <font>
        <color rgb="FF00B05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F9A8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Kostenstruktur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explosion val="21"/>
            <c:spPr>
              <a:solidFill>
                <a:srgbClr val="FF0000"/>
              </a:solidFill>
              <a:ln w="19050">
                <a:solidFill>
                  <a:schemeClr val="lt1"/>
                </a:solidFill>
              </a:ln>
              <a:effectLst/>
            </c:spPr>
            <c:extLst>
              <c:ext xmlns:c16="http://schemas.microsoft.com/office/drawing/2014/chart" uri="{C3380CC4-5D6E-409C-BE32-E72D297353CC}">
                <c16:uniqueId val="{00000002-F054-45D5-9825-B06DE22F3A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53-4095-8EB2-D8DF659B96D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F054-45D5-9825-B06DE22F3A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53-4095-8EB2-D8DF659B96D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53-4095-8EB2-D8DF659B96D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253-4095-8EB2-D8DF659B96D9}"/>
              </c:ext>
            </c:extLst>
          </c:dPt>
          <c:dPt>
            <c:idx val="6"/>
            <c:bubble3D val="0"/>
            <c:spPr>
              <a:solidFill>
                <a:schemeClr val="tx1"/>
              </a:solidFill>
              <a:ln w="19050">
                <a:solidFill>
                  <a:schemeClr val="lt1"/>
                </a:solidFill>
              </a:ln>
              <a:effectLst/>
            </c:spPr>
            <c:extLst>
              <c:ext xmlns:c16="http://schemas.microsoft.com/office/drawing/2014/chart" uri="{C3380CC4-5D6E-409C-BE32-E72D297353CC}">
                <c16:uniqueId val="{00000003-F054-45D5-9825-B06DE22F3ADC}"/>
              </c:ext>
            </c:extLst>
          </c:dPt>
          <c:cat>
            <c:strRef>
              <c:f>Report!$A$55:$A$61</c:f>
              <c:strCache>
                <c:ptCount val="7"/>
                <c:pt idx="0">
                  <c:v>KV-Entgelt produktiv Tätige</c:v>
                </c:pt>
                <c:pt idx="1">
                  <c:v>Weitere Personalkosten produktiv</c:v>
                </c:pt>
                <c:pt idx="2">
                  <c:v>Personalnebenkosten</c:v>
                </c:pt>
                <c:pt idx="3">
                  <c:v>Unproduktives Personal</c:v>
                </c:pt>
                <c:pt idx="4">
                  <c:v>Deckung Personalgemeinkosten</c:v>
                </c:pt>
                <c:pt idx="5">
                  <c:v>Umlagen ohne GZ</c:v>
                </c:pt>
                <c:pt idx="6">
                  <c:v>Gesamtzuschlag</c:v>
                </c:pt>
              </c:strCache>
            </c:strRef>
          </c:cat>
          <c:val>
            <c:numRef>
              <c:f>Report!$E$55:$E$61</c:f>
              <c:numCache>
                <c:formatCode>0.00%</c:formatCode>
                <c:ptCount val="7"/>
                <c:pt idx="0">
                  <c:v>1</c:v>
                </c:pt>
                <c:pt idx="1">
                  <c:v>0.247</c:v>
                </c:pt>
                <c:pt idx="2">
                  <c:v>1.3164</c:v>
                </c:pt>
                <c:pt idx="3">
                  <c:v>0.1421</c:v>
                </c:pt>
                <c:pt idx="4">
                  <c:v>0.502</c:v>
                </c:pt>
                <c:pt idx="5">
                  <c:v>0</c:v>
                </c:pt>
                <c:pt idx="6">
                  <c:v>0.8276</c:v>
                </c:pt>
              </c:numCache>
            </c:numRef>
          </c:val>
          <c:extLst>
            <c:ext xmlns:c16="http://schemas.microsoft.com/office/drawing/2014/chart" uri="{C3380CC4-5D6E-409C-BE32-E72D297353CC}">
              <c16:uniqueId val="{00000000-F054-45D5-9825-B06DE22F3ADC}"/>
            </c:ext>
          </c:extLst>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4"/>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5"/>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6"/>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ayout>
        <c:manualLayout>
          <c:xMode val="edge"/>
          <c:yMode val="edge"/>
          <c:x val="0.56991457997828077"/>
          <c:y val="9.713910761154855E-2"/>
          <c:w val="0.41576133900456658"/>
          <c:h val="0.73669364246135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www.bauwesen.at/k3" TargetMode="Externa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5.emf"/><Relationship Id="rId13" Type="http://schemas.openxmlformats.org/officeDocument/2006/relationships/hyperlink" Target="#Projekt!F227"/><Relationship Id="rId18" Type="http://schemas.openxmlformats.org/officeDocument/2006/relationships/image" Target="../media/image10.emf"/><Relationship Id="rId26" Type="http://schemas.openxmlformats.org/officeDocument/2006/relationships/image" Target="../media/image14.emf"/><Relationship Id="rId39" Type="http://schemas.openxmlformats.org/officeDocument/2006/relationships/hyperlink" Target="#Projekt!A572"/><Relationship Id="rId3" Type="http://schemas.openxmlformats.org/officeDocument/2006/relationships/hyperlink" Target="#Projekt!A31"/><Relationship Id="rId21" Type="http://schemas.openxmlformats.org/officeDocument/2006/relationships/hyperlink" Target="#Projekt!H469"/><Relationship Id="rId34" Type="http://schemas.openxmlformats.org/officeDocument/2006/relationships/image" Target="../media/image18.emf"/><Relationship Id="rId42" Type="http://schemas.openxmlformats.org/officeDocument/2006/relationships/image" Target="../media/image22.emf"/><Relationship Id="rId7" Type="http://schemas.openxmlformats.org/officeDocument/2006/relationships/hyperlink" Target="#Projekt!A110"/><Relationship Id="rId12" Type="http://schemas.openxmlformats.org/officeDocument/2006/relationships/image" Target="../media/image7.emf"/><Relationship Id="rId17" Type="http://schemas.openxmlformats.org/officeDocument/2006/relationships/hyperlink" Target="#Projekt!H358"/><Relationship Id="rId25" Type="http://schemas.openxmlformats.org/officeDocument/2006/relationships/hyperlink" Target="#'K2 GZ'!B10"/><Relationship Id="rId33" Type="http://schemas.openxmlformats.org/officeDocument/2006/relationships/hyperlink" Target="#' K3 Regie3'!A1"/><Relationship Id="rId38" Type="http://schemas.openxmlformats.org/officeDocument/2006/relationships/image" Target="../media/image20.emf"/><Relationship Id="rId2" Type="http://schemas.openxmlformats.org/officeDocument/2006/relationships/image" Target="../media/image2.emf"/><Relationship Id="rId16" Type="http://schemas.openxmlformats.org/officeDocument/2006/relationships/image" Target="../media/image9.emf"/><Relationship Id="rId20" Type="http://schemas.openxmlformats.org/officeDocument/2006/relationships/image" Target="../media/image11.emf"/><Relationship Id="rId29" Type="http://schemas.openxmlformats.org/officeDocument/2006/relationships/hyperlink" Target="#' K3 Regie1'!A1"/><Relationship Id="rId41" Type="http://schemas.openxmlformats.org/officeDocument/2006/relationships/hyperlink" Target="#Projekt!D10"/><Relationship Id="rId1" Type="http://schemas.openxmlformats.org/officeDocument/2006/relationships/hyperlink" Target="http://www.bauwesen.at/k3" TargetMode="External"/><Relationship Id="rId6" Type="http://schemas.openxmlformats.org/officeDocument/2006/relationships/image" Target="../media/image4.emf"/><Relationship Id="rId11" Type="http://schemas.openxmlformats.org/officeDocument/2006/relationships/hyperlink" Target="#Projekt!G188"/><Relationship Id="rId24" Type="http://schemas.openxmlformats.org/officeDocument/2006/relationships/image" Target="../media/image13.emf"/><Relationship Id="rId32" Type="http://schemas.openxmlformats.org/officeDocument/2006/relationships/image" Target="../media/image17.emf"/><Relationship Id="rId37" Type="http://schemas.openxmlformats.org/officeDocument/2006/relationships/hyperlink" Target="#Projekt!A1"/><Relationship Id="rId40" Type="http://schemas.openxmlformats.org/officeDocument/2006/relationships/image" Target="../media/image21.emf"/><Relationship Id="rId5" Type="http://schemas.openxmlformats.org/officeDocument/2006/relationships/hyperlink" Target="#Projekt!A69"/><Relationship Id="rId15" Type="http://schemas.openxmlformats.org/officeDocument/2006/relationships/hyperlink" Target="#Projekt!H305"/><Relationship Id="rId23" Type="http://schemas.openxmlformats.org/officeDocument/2006/relationships/hyperlink" Target="#Projekt!H525"/><Relationship Id="rId28" Type="http://schemas.openxmlformats.org/officeDocument/2006/relationships/image" Target="../media/image15.emf"/><Relationship Id="rId36" Type="http://schemas.openxmlformats.org/officeDocument/2006/relationships/image" Target="../media/image19.emf"/><Relationship Id="rId10" Type="http://schemas.openxmlformats.org/officeDocument/2006/relationships/image" Target="../media/image6.emf"/><Relationship Id="rId19" Type="http://schemas.openxmlformats.org/officeDocument/2006/relationships/hyperlink" Target="#Projekt!H416"/><Relationship Id="rId31" Type="http://schemas.openxmlformats.org/officeDocument/2006/relationships/hyperlink" Target="#' K3 Regie2'!A1"/><Relationship Id="rId4" Type="http://schemas.openxmlformats.org/officeDocument/2006/relationships/image" Target="../media/image3.emf"/><Relationship Id="rId9" Type="http://schemas.openxmlformats.org/officeDocument/2006/relationships/hyperlink" Target="#Projekt!A157"/><Relationship Id="rId14" Type="http://schemas.openxmlformats.org/officeDocument/2006/relationships/image" Target="../media/image8.emf"/><Relationship Id="rId22" Type="http://schemas.openxmlformats.org/officeDocument/2006/relationships/image" Target="../media/image12.emf"/><Relationship Id="rId27" Type="http://schemas.openxmlformats.org/officeDocument/2006/relationships/hyperlink" Target="#' K3 PP'!A1"/><Relationship Id="rId30" Type="http://schemas.openxmlformats.org/officeDocument/2006/relationships/image" Target="../media/image16.emf"/><Relationship Id="rId35" Type="http://schemas.openxmlformats.org/officeDocument/2006/relationships/hyperlink" Target="#' K3 Regie4'!A1"/></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image" Target="../media/image26.emf"/><Relationship Id="rId3" Type="http://schemas.openxmlformats.org/officeDocument/2006/relationships/hyperlink" Target="#Projekt!A1"/><Relationship Id="rId7" Type="http://schemas.openxmlformats.org/officeDocument/2006/relationships/hyperlink" Target="#'K2a Z f ...'!A1"/><Relationship Id="rId2" Type="http://schemas.openxmlformats.org/officeDocument/2006/relationships/image" Target="../media/image23.emf"/><Relationship Id="rId1" Type="http://schemas.openxmlformats.org/officeDocument/2006/relationships/hyperlink" Target="#'K2a Z f ...'!E6"/><Relationship Id="rId6" Type="http://schemas.openxmlformats.org/officeDocument/2006/relationships/image" Target="../media/image25.emf"/><Relationship Id="rId5" Type="http://schemas.openxmlformats.org/officeDocument/2006/relationships/hyperlink" Target="#' K3 PP'!A1"/><Relationship Id="rId4" Type="http://schemas.openxmlformats.org/officeDocument/2006/relationships/image" Target="../media/image24.emf"/></Relationships>
</file>

<file path=xl/drawings/_rels/drawing5.xml.rels><?xml version="1.0" encoding="UTF-8" standalone="yes"?>
<Relationships xmlns="http://schemas.openxmlformats.org/package/2006/relationships"><Relationship Id="rId3" Type="http://schemas.openxmlformats.org/officeDocument/2006/relationships/hyperlink" Target="#Projekt!A1"/><Relationship Id="rId2" Type="http://schemas.openxmlformats.org/officeDocument/2006/relationships/image" Target="../media/image27.emf"/><Relationship Id="rId1" Type="http://schemas.openxmlformats.org/officeDocument/2006/relationships/hyperlink" Target="#'K2 GZ'!B10"/><Relationship Id="rId6" Type="http://schemas.openxmlformats.org/officeDocument/2006/relationships/image" Target="../media/image29.emf"/><Relationship Id="rId5" Type="http://schemas.openxmlformats.org/officeDocument/2006/relationships/hyperlink" Target="#'K2 GZ'!A1"/><Relationship Id="rId4"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170</xdr:row>
      <xdr:rowOff>101656</xdr:rowOff>
    </xdr:from>
    <xdr:to>
      <xdr:col>3</xdr:col>
      <xdr:colOff>838201</xdr:colOff>
      <xdr:row>180</xdr:row>
      <xdr:rowOff>109538</xdr:rowOff>
    </xdr:to>
    <xdr:pic>
      <xdr:nvPicPr>
        <xdr:cNvPr id="3" name="Grafik 2">
          <a:extLst>
            <a:ext uri="{FF2B5EF4-FFF2-40B4-BE49-F238E27FC236}">
              <a16:creationId xmlns:a16="http://schemas.microsoft.com/office/drawing/2014/main" id="{CC69CAE5-5E17-4EDD-A03B-6C0FE7665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34991731"/>
          <a:ext cx="3824288" cy="2008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4</xdr:col>
      <xdr:colOff>166688</xdr:colOff>
      <xdr:row>4</xdr:row>
      <xdr:rowOff>204787</xdr:rowOff>
    </xdr:to>
    <xdr:pic>
      <xdr:nvPicPr>
        <xdr:cNvPr id="15" name="Grafik 14">
          <a:hlinkClick xmlns:r="http://schemas.openxmlformats.org/officeDocument/2006/relationships" r:id="rId2" tooltip="Zur Seite:  bauwesen.at/k3"/>
          <a:extLst>
            <a:ext uri="{FF2B5EF4-FFF2-40B4-BE49-F238E27FC236}">
              <a16:creationId xmlns:a16="http://schemas.microsoft.com/office/drawing/2014/main" id="{405E5279-DA76-4705-A725-F7AF2A8D1C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86125" y="80010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2</xdr:col>
      <xdr:colOff>881063</xdr:colOff>
      <xdr:row>33</xdr:row>
      <xdr:rowOff>4762</xdr:rowOff>
    </xdr:to>
    <xdr:pic>
      <xdr:nvPicPr>
        <xdr:cNvPr id="17" name="Grafik 16">
          <a:hlinkClick xmlns:r="http://schemas.openxmlformats.org/officeDocument/2006/relationships" r:id="rId2" tooltip="Zur Seite:  bauwesen.at/k3"/>
          <a:extLst>
            <a:ext uri="{FF2B5EF4-FFF2-40B4-BE49-F238E27FC236}">
              <a16:creationId xmlns:a16="http://schemas.microsoft.com/office/drawing/2014/main" id="{02731DA4-837E-4700-B11E-FD1289049A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721995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26</xdr:row>
      <xdr:rowOff>0</xdr:rowOff>
    </xdr:from>
    <xdr:to>
      <xdr:col>2</xdr:col>
      <xdr:colOff>881063</xdr:colOff>
      <xdr:row>27</xdr:row>
      <xdr:rowOff>4762</xdr:rowOff>
    </xdr:to>
    <xdr:pic>
      <xdr:nvPicPr>
        <xdr:cNvPr id="18" name="Grafik 17">
          <a:hlinkClick xmlns:r="http://schemas.openxmlformats.org/officeDocument/2006/relationships" r:id="rId2" tooltip="Zur Seite:  bauwesen.at/k3"/>
          <a:extLst>
            <a:ext uri="{FF2B5EF4-FFF2-40B4-BE49-F238E27FC236}">
              <a16:creationId xmlns:a16="http://schemas.microsoft.com/office/drawing/2014/main" id="{5AC98A24-3C07-4D2E-8D29-1C3B8F87E4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601980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180975</xdr:colOff>
      <xdr:row>15</xdr:row>
      <xdr:rowOff>0</xdr:rowOff>
    </xdr:from>
    <xdr:to>
      <xdr:col>6</xdr:col>
      <xdr:colOff>585788</xdr:colOff>
      <xdr:row>15</xdr:row>
      <xdr:rowOff>204787</xdr:rowOff>
    </xdr:to>
    <xdr:pic>
      <xdr:nvPicPr>
        <xdr:cNvPr id="7" name="Grafik 6">
          <a:hlinkClick xmlns:r="http://schemas.openxmlformats.org/officeDocument/2006/relationships" r:id="rId1" tooltip="Zur Seite:  bauwesen.at/k3"/>
          <a:extLst>
            <a:ext uri="{FF2B5EF4-FFF2-40B4-BE49-F238E27FC236}">
              <a16:creationId xmlns:a16="http://schemas.microsoft.com/office/drawing/2014/main" id="{CF9C296F-2F4A-47FE-8BA2-8DC5498AD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2875" y="3500438"/>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4763</xdr:colOff>
      <xdr:row>2</xdr:row>
      <xdr:rowOff>4763</xdr:rowOff>
    </xdr:to>
    <xdr:pic>
      <xdr:nvPicPr>
        <xdr:cNvPr id="9" name="Grafik 8">
          <a:hlinkClick xmlns:r="http://schemas.openxmlformats.org/officeDocument/2006/relationships" r:id="rId3" tooltip="Eingabe Arbeitnehmer und unproduktive Zeiten"/>
          <a:extLst>
            <a:ext uri="{FF2B5EF4-FFF2-40B4-BE49-F238E27FC236}">
              <a16:creationId xmlns:a16="http://schemas.microsoft.com/office/drawing/2014/main" id="{87DBD908-4336-4CF9-AD30-B8BD206EC23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62000" y="38100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4763</xdr:rowOff>
    </xdr:from>
    <xdr:to>
      <xdr:col>3</xdr:col>
      <xdr:colOff>4763</xdr:colOff>
      <xdr:row>3</xdr:row>
      <xdr:rowOff>9526</xdr:rowOff>
    </xdr:to>
    <xdr:pic>
      <xdr:nvPicPr>
        <xdr:cNvPr id="11" name="Grafik 10">
          <a:hlinkClick xmlns:r="http://schemas.openxmlformats.org/officeDocument/2006/relationships" r:id="rId5" tooltip="Eingabe der Zulagen (Erschwernisse)"/>
          <a:extLst>
            <a:ext uri="{FF2B5EF4-FFF2-40B4-BE49-F238E27FC236}">
              <a16:creationId xmlns:a16="http://schemas.microsoft.com/office/drawing/2014/main" id="{3674462B-1947-48CA-A1B6-4770796E557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2000" y="604838"/>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757237</xdr:colOff>
      <xdr:row>3</xdr:row>
      <xdr:rowOff>0</xdr:rowOff>
    </xdr:from>
    <xdr:to>
      <xdr:col>3</xdr:col>
      <xdr:colOff>0</xdr:colOff>
      <xdr:row>4</xdr:row>
      <xdr:rowOff>4763</xdr:rowOff>
    </xdr:to>
    <xdr:pic>
      <xdr:nvPicPr>
        <xdr:cNvPr id="12" name="Grafik 11">
          <a:hlinkClick xmlns:r="http://schemas.openxmlformats.org/officeDocument/2006/relationships" r:id="rId7" tooltip="Eingabe Taggeld, Entfernungszulage usw"/>
          <a:extLst>
            <a:ext uri="{FF2B5EF4-FFF2-40B4-BE49-F238E27FC236}">
              <a16:creationId xmlns:a16="http://schemas.microsoft.com/office/drawing/2014/main" id="{7A5E94E6-7D48-4B12-AF75-F4C078658C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57237" y="81915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5</xdr:col>
      <xdr:colOff>4763</xdr:colOff>
      <xdr:row>2</xdr:row>
      <xdr:rowOff>4763</xdr:rowOff>
    </xdr:to>
    <xdr:pic>
      <xdr:nvPicPr>
        <xdr:cNvPr id="13" name="Grafik 12">
          <a:hlinkClick xmlns:r="http://schemas.openxmlformats.org/officeDocument/2006/relationships" r:id="rId9" tooltip="Arbeitszeit, Überstunden, Aufzahlungen usw"/>
          <a:extLst>
            <a:ext uri="{FF2B5EF4-FFF2-40B4-BE49-F238E27FC236}">
              <a16:creationId xmlns:a16="http://schemas.microsoft.com/office/drawing/2014/main" id="{C027BF04-99B3-4B21-9730-5892287243E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66950" y="38100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5</xdr:col>
      <xdr:colOff>4763</xdr:colOff>
      <xdr:row>3</xdr:row>
      <xdr:rowOff>4763</xdr:rowOff>
    </xdr:to>
    <xdr:pic>
      <xdr:nvPicPr>
        <xdr:cNvPr id="15" name="Grafik 14">
          <a:hlinkClick xmlns:r="http://schemas.openxmlformats.org/officeDocument/2006/relationships" r:id="rId11" tooltip="Direkte, Umgelegte und Weitere Personalnebenkosten"/>
          <a:extLst>
            <a:ext uri="{FF2B5EF4-FFF2-40B4-BE49-F238E27FC236}">
              <a16:creationId xmlns:a16="http://schemas.microsoft.com/office/drawing/2014/main" id="{5678B69D-6F2D-4D52-853B-9DCD7D971FEC}"/>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66950" y="600075"/>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5</xdr:col>
      <xdr:colOff>4763</xdr:colOff>
      <xdr:row>4</xdr:row>
      <xdr:rowOff>4763</xdr:rowOff>
    </xdr:to>
    <xdr:pic>
      <xdr:nvPicPr>
        <xdr:cNvPr id="16" name="Grafik 15">
          <a:hlinkClick xmlns:r="http://schemas.openxmlformats.org/officeDocument/2006/relationships" r:id="rId13" tooltip="Personalgemeinkosten, Umlagen und Gesamtzuschlag"/>
          <a:extLst>
            <a:ext uri="{FF2B5EF4-FFF2-40B4-BE49-F238E27FC236}">
              <a16:creationId xmlns:a16="http://schemas.microsoft.com/office/drawing/2014/main" id="{E1CC9B2B-5C0D-4681-B916-A04D3469B07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66950" y="819150"/>
          <a:ext cx="150971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6</xdr:col>
      <xdr:colOff>4763</xdr:colOff>
      <xdr:row>2</xdr:row>
      <xdr:rowOff>4763</xdr:rowOff>
    </xdr:to>
    <xdr:pic>
      <xdr:nvPicPr>
        <xdr:cNvPr id="18" name="Grafik 17">
          <a:hlinkClick xmlns:r="http://schemas.openxmlformats.org/officeDocument/2006/relationships" r:id="rId15" tooltip="Zu Regie 01"/>
          <a:extLst>
            <a:ext uri="{FF2B5EF4-FFF2-40B4-BE49-F238E27FC236}">
              <a16:creationId xmlns:a16="http://schemas.microsoft.com/office/drawing/2014/main" id="{9429E475-7CF4-4DAB-B3C2-E44561EEAB7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771900" y="38100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xdr:row>
      <xdr:rowOff>0</xdr:rowOff>
    </xdr:from>
    <xdr:to>
      <xdr:col>6</xdr:col>
      <xdr:colOff>4763</xdr:colOff>
      <xdr:row>3</xdr:row>
      <xdr:rowOff>4763</xdr:rowOff>
    </xdr:to>
    <xdr:pic>
      <xdr:nvPicPr>
        <xdr:cNvPr id="20" name="Grafik 19">
          <a:hlinkClick xmlns:r="http://schemas.openxmlformats.org/officeDocument/2006/relationships" r:id="rId17" tooltip="Zu Regie 02"/>
          <a:extLst>
            <a:ext uri="{FF2B5EF4-FFF2-40B4-BE49-F238E27FC236}">
              <a16:creationId xmlns:a16="http://schemas.microsoft.com/office/drawing/2014/main" id="{7497B7AF-2780-49B3-AA4E-F5F949063CC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771900" y="600075"/>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6</xdr:col>
      <xdr:colOff>4763</xdr:colOff>
      <xdr:row>4</xdr:row>
      <xdr:rowOff>4763</xdr:rowOff>
    </xdr:to>
    <xdr:pic>
      <xdr:nvPicPr>
        <xdr:cNvPr id="22" name="Grafik 21">
          <a:hlinkClick xmlns:r="http://schemas.openxmlformats.org/officeDocument/2006/relationships" r:id="rId19" tooltip="Zu Regie 03"/>
          <a:extLst>
            <a:ext uri="{FF2B5EF4-FFF2-40B4-BE49-F238E27FC236}">
              <a16:creationId xmlns:a16="http://schemas.microsoft.com/office/drawing/2014/main" id="{FD5D667F-F526-4AB5-97E7-FAD1FE71688D}"/>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771900" y="81915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4763</xdr:colOff>
      <xdr:row>2</xdr:row>
      <xdr:rowOff>4763</xdr:rowOff>
    </xdr:to>
    <xdr:pic>
      <xdr:nvPicPr>
        <xdr:cNvPr id="24" name="Grafik 23">
          <a:hlinkClick xmlns:r="http://schemas.openxmlformats.org/officeDocument/2006/relationships" r:id="rId21" tooltip="Zu Regie 04"/>
          <a:extLst>
            <a:ext uri="{FF2B5EF4-FFF2-40B4-BE49-F238E27FC236}">
              <a16:creationId xmlns:a16="http://schemas.microsoft.com/office/drawing/2014/main" id="{D2D5136F-1276-4B21-9397-B54810554EDC}"/>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4505325" y="381000"/>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xdr:row>
      <xdr:rowOff>0</xdr:rowOff>
    </xdr:from>
    <xdr:to>
      <xdr:col>7</xdr:col>
      <xdr:colOff>4763</xdr:colOff>
      <xdr:row>3</xdr:row>
      <xdr:rowOff>4763</xdr:rowOff>
    </xdr:to>
    <xdr:pic>
      <xdr:nvPicPr>
        <xdr:cNvPr id="26" name="Grafik 25">
          <a:hlinkClick xmlns:r="http://schemas.openxmlformats.org/officeDocument/2006/relationships" r:id="rId23" tooltip="Zu Regie 05 - Regiepartie"/>
          <a:extLst>
            <a:ext uri="{FF2B5EF4-FFF2-40B4-BE49-F238E27FC236}">
              <a16:creationId xmlns:a16="http://schemas.microsoft.com/office/drawing/2014/main" id="{8CE9B263-0998-4062-9B0B-FB4907EC7FE2}"/>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505325" y="600075"/>
          <a:ext cx="738188"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263</xdr:row>
      <xdr:rowOff>0</xdr:rowOff>
    </xdr:from>
    <xdr:to>
      <xdr:col>8</xdr:col>
      <xdr:colOff>4763</xdr:colOff>
      <xdr:row>264</xdr:row>
      <xdr:rowOff>4763</xdr:rowOff>
    </xdr:to>
    <xdr:pic>
      <xdr:nvPicPr>
        <xdr:cNvPr id="27" name="Grafik 26">
          <a:hlinkClick xmlns:r="http://schemas.openxmlformats.org/officeDocument/2006/relationships" r:id="rId25" tooltip="Zum K2-Blatt"/>
          <a:extLst>
            <a:ext uri="{FF2B5EF4-FFF2-40B4-BE49-F238E27FC236}">
              <a16:creationId xmlns:a16="http://schemas.microsoft.com/office/drawing/2014/main" id="{A17C3AD4-0E84-4C24-89FA-2B3DFCFE2E85}"/>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505325" y="60717113"/>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269</xdr:row>
      <xdr:rowOff>0</xdr:rowOff>
    </xdr:from>
    <xdr:to>
      <xdr:col>8</xdr:col>
      <xdr:colOff>4763</xdr:colOff>
      <xdr:row>270</xdr:row>
      <xdr:rowOff>4763</xdr:rowOff>
    </xdr:to>
    <xdr:pic>
      <xdr:nvPicPr>
        <xdr:cNvPr id="29" name="Grafik 28">
          <a:hlinkClick xmlns:r="http://schemas.openxmlformats.org/officeDocument/2006/relationships" r:id="rId27" tooltip="Zum K3-Blatt"/>
          <a:extLst>
            <a:ext uri="{FF2B5EF4-FFF2-40B4-BE49-F238E27FC236}">
              <a16:creationId xmlns:a16="http://schemas.microsoft.com/office/drawing/2014/main" id="{2A8EFAB3-E1AC-4B49-B80B-3E57277EB46F}"/>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505325" y="62060138"/>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277</xdr:row>
      <xdr:rowOff>0</xdr:rowOff>
    </xdr:from>
    <xdr:to>
      <xdr:col>8</xdr:col>
      <xdr:colOff>4763</xdr:colOff>
      <xdr:row>278</xdr:row>
      <xdr:rowOff>4763</xdr:rowOff>
    </xdr:to>
    <xdr:pic>
      <xdr:nvPicPr>
        <xdr:cNvPr id="30" name="Grafik 29">
          <a:hlinkClick xmlns:r="http://schemas.openxmlformats.org/officeDocument/2006/relationships" r:id="rId27" tooltip="Zum K3-Blatt"/>
          <a:extLst>
            <a:ext uri="{FF2B5EF4-FFF2-40B4-BE49-F238E27FC236}">
              <a16:creationId xmlns:a16="http://schemas.microsoft.com/office/drawing/2014/main" id="{FBE557BD-4922-4D01-BE14-98F8DE71EB92}"/>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4505325" y="63850838"/>
          <a:ext cx="1471613"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340</xdr:row>
      <xdr:rowOff>0</xdr:rowOff>
    </xdr:from>
    <xdr:to>
      <xdr:col>9</xdr:col>
      <xdr:colOff>4763</xdr:colOff>
      <xdr:row>341</xdr:row>
      <xdr:rowOff>4763</xdr:rowOff>
    </xdr:to>
    <xdr:pic>
      <xdr:nvPicPr>
        <xdr:cNvPr id="32" name="Grafik 31">
          <a:hlinkClick xmlns:r="http://schemas.openxmlformats.org/officeDocument/2006/relationships" r:id="rId29" tooltip="Zum K3-Blatt Regie01"/>
          <a:extLst>
            <a:ext uri="{FF2B5EF4-FFF2-40B4-BE49-F238E27FC236}">
              <a16:creationId xmlns:a16="http://schemas.microsoft.com/office/drawing/2014/main" id="{D3FBFA13-DC87-47F8-9D2C-D571929E68F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505325" y="7795260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393</xdr:row>
      <xdr:rowOff>0</xdr:rowOff>
    </xdr:from>
    <xdr:to>
      <xdr:col>9</xdr:col>
      <xdr:colOff>4763</xdr:colOff>
      <xdr:row>394</xdr:row>
      <xdr:rowOff>4763</xdr:rowOff>
    </xdr:to>
    <xdr:pic>
      <xdr:nvPicPr>
        <xdr:cNvPr id="34" name="Grafik 33">
          <a:hlinkClick xmlns:r="http://schemas.openxmlformats.org/officeDocument/2006/relationships" r:id="rId31" tooltip="Zum K3-Blatt Regie02"/>
          <a:extLst>
            <a:ext uri="{FF2B5EF4-FFF2-40B4-BE49-F238E27FC236}">
              <a16:creationId xmlns:a16="http://schemas.microsoft.com/office/drawing/2014/main" id="{3B955F1C-61A9-4438-A3D4-73EC9431F2C8}"/>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4505325" y="89815988"/>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451</xdr:row>
      <xdr:rowOff>0</xdr:rowOff>
    </xdr:from>
    <xdr:to>
      <xdr:col>9</xdr:col>
      <xdr:colOff>4763</xdr:colOff>
      <xdr:row>452</xdr:row>
      <xdr:rowOff>4763</xdr:rowOff>
    </xdr:to>
    <xdr:pic>
      <xdr:nvPicPr>
        <xdr:cNvPr id="35" name="Grafik 34">
          <a:hlinkClick xmlns:r="http://schemas.openxmlformats.org/officeDocument/2006/relationships" r:id="rId33" tooltip="Zum K3-Blatt Regie03"/>
          <a:extLst>
            <a:ext uri="{FF2B5EF4-FFF2-40B4-BE49-F238E27FC236}">
              <a16:creationId xmlns:a16="http://schemas.microsoft.com/office/drawing/2014/main" id="{B14DB99B-1E7E-4A20-8870-FEB88167A3AA}"/>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505325" y="102798563"/>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504</xdr:row>
      <xdr:rowOff>0</xdr:rowOff>
    </xdr:from>
    <xdr:to>
      <xdr:col>9</xdr:col>
      <xdr:colOff>4763</xdr:colOff>
      <xdr:row>505</xdr:row>
      <xdr:rowOff>4763</xdr:rowOff>
    </xdr:to>
    <xdr:pic>
      <xdr:nvPicPr>
        <xdr:cNvPr id="36" name="Grafik 35">
          <a:hlinkClick xmlns:r="http://schemas.openxmlformats.org/officeDocument/2006/relationships" r:id="rId35" tooltip="Zum K3-Blatt Regie04"/>
          <a:extLst>
            <a:ext uri="{FF2B5EF4-FFF2-40B4-BE49-F238E27FC236}">
              <a16:creationId xmlns:a16="http://schemas.microsoft.com/office/drawing/2014/main" id="{9FFD7311-659A-428C-AD2B-F8E0380C766C}"/>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505325" y="11466195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560</xdr:row>
      <xdr:rowOff>0</xdr:rowOff>
    </xdr:from>
    <xdr:to>
      <xdr:col>9</xdr:col>
      <xdr:colOff>4763</xdr:colOff>
      <xdr:row>561</xdr:row>
      <xdr:rowOff>4763</xdr:rowOff>
    </xdr:to>
    <xdr:pic>
      <xdr:nvPicPr>
        <xdr:cNvPr id="38" name="Grafik 37">
          <a:hlinkClick xmlns:r="http://schemas.openxmlformats.org/officeDocument/2006/relationships" r:id="rId37" tooltip="Zum K3-Blatt Regiepartie"/>
          <a:extLst>
            <a:ext uri="{FF2B5EF4-FFF2-40B4-BE49-F238E27FC236}">
              <a16:creationId xmlns:a16="http://schemas.microsoft.com/office/drawing/2014/main" id="{6FAB0C66-2A17-475D-879C-6442A26951B8}"/>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4505325" y="127196850"/>
          <a:ext cx="1652588" cy="22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xdr:row>
      <xdr:rowOff>0</xdr:rowOff>
    </xdr:from>
    <xdr:to>
      <xdr:col>9</xdr:col>
      <xdr:colOff>4763</xdr:colOff>
      <xdr:row>4</xdr:row>
      <xdr:rowOff>4763</xdr:rowOff>
    </xdr:to>
    <xdr:pic>
      <xdr:nvPicPr>
        <xdr:cNvPr id="39" name="Grafik 38">
          <a:hlinkClick xmlns:r="http://schemas.openxmlformats.org/officeDocument/2006/relationships" r:id="rId39" tooltip="Zur Zusammenfassung aller K-Blätter"/>
          <a:extLst>
            <a:ext uri="{FF2B5EF4-FFF2-40B4-BE49-F238E27FC236}">
              <a16:creationId xmlns:a16="http://schemas.microsoft.com/office/drawing/2014/main" id="{D06525BC-95E7-4C41-AB68-533415D33A61}"/>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238750" y="819150"/>
          <a:ext cx="919163" cy="2238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564</xdr:row>
      <xdr:rowOff>0</xdr:rowOff>
    </xdr:from>
    <xdr:to>
      <xdr:col>8</xdr:col>
      <xdr:colOff>4763</xdr:colOff>
      <xdr:row>565</xdr:row>
      <xdr:rowOff>4763</xdr:rowOff>
    </xdr:to>
    <xdr:pic>
      <xdr:nvPicPr>
        <xdr:cNvPr id="25" name="Grafik 24">
          <a:hlinkClick xmlns:r="http://schemas.openxmlformats.org/officeDocument/2006/relationships" r:id="rId41" tooltip="Nach oben zum Seitenanfang"/>
          <a:extLst>
            <a:ext uri="{FF2B5EF4-FFF2-40B4-BE49-F238E27FC236}">
              <a16:creationId xmlns:a16="http://schemas.microsoft.com/office/drawing/2014/main" id="{4A496BC1-BF9C-4B0B-B966-4D50ADFBB7E2}"/>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4505325" y="128092200"/>
          <a:ext cx="1471613" cy="22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62</xdr:row>
      <xdr:rowOff>114300</xdr:rowOff>
    </xdr:from>
    <xdr:to>
      <xdr:col>8</xdr:col>
      <xdr:colOff>209550</xdr:colOff>
      <xdr:row>74</xdr:row>
      <xdr:rowOff>57150</xdr:rowOff>
    </xdr:to>
    <xdr:graphicFrame macro="">
      <xdr:nvGraphicFramePr>
        <xdr:cNvPr id="4" name="Diagramm 3">
          <a:extLst>
            <a:ext uri="{FF2B5EF4-FFF2-40B4-BE49-F238E27FC236}">
              <a16:creationId xmlns:a16="http://schemas.microsoft.com/office/drawing/2014/main" id="{7DD85801-B900-42D6-B107-0796CB6868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6</xdr:col>
      <xdr:colOff>4763</xdr:colOff>
      <xdr:row>5</xdr:row>
      <xdr:rowOff>4763</xdr:rowOff>
    </xdr:to>
    <xdr:pic>
      <xdr:nvPicPr>
        <xdr:cNvPr id="2" name="Grafik 1">
          <a:hlinkClick xmlns:r="http://schemas.openxmlformats.org/officeDocument/2006/relationships" r:id="rId1" tooltip="Zum K2a-Blatt"/>
          <a:extLst>
            <a:ext uri="{FF2B5EF4-FFF2-40B4-BE49-F238E27FC236}">
              <a16:creationId xmlns:a16="http://schemas.microsoft.com/office/drawing/2014/main" id="{D6D7DFF4-E39E-40E6-9EF8-9BFAE9579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885825"/>
          <a:ext cx="1052513"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21</xdr:row>
      <xdr:rowOff>0</xdr:rowOff>
    </xdr:from>
    <xdr:to>
      <xdr:col>14</xdr:col>
      <xdr:colOff>4763</xdr:colOff>
      <xdr:row>22</xdr:row>
      <xdr:rowOff>4763</xdr:rowOff>
    </xdr:to>
    <xdr:pic>
      <xdr:nvPicPr>
        <xdr:cNvPr id="3" name="Grafik 2">
          <a:hlinkClick xmlns:r="http://schemas.openxmlformats.org/officeDocument/2006/relationships" r:id="rId3" tooltip="Zur Projektkalkulation"/>
          <a:extLst>
            <a:ext uri="{FF2B5EF4-FFF2-40B4-BE49-F238E27FC236}">
              <a16:creationId xmlns:a16="http://schemas.microsoft.com/office/drawing/2014/main" id="{A36DB4C3-6A86-4764-ABC0-27122919A11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00838" y="5614988"/>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22</xdr:row>
      <xdr:rowOff>0</xdr:rowOff>
    </xdr:from>
    <xdr:to>
      <xdr:col>14</xdr:col>
      <xdr:colOff>4763</xdr:colOff>
      <xdr:row>23</xdr:row>
      <xdr:rowOff>4763</xdr:rowOff>
    </xdr:to>
    <xdr:pic>
      <xdr:nvPicPr>
        <xdr:cNvPr id="4" name="Grafik 3">
          <a:hlinkClick xmlns:r="http://schemas.openxmlformats.org/officeDocument/2006/relationships" r:id="rId5" tooltip="Zum K3-Blatt"/>
          <a:extLst>
            <a:ext uri="{FF2B5EF4-FFF2-40B4-BE49-F238E27FC236}">
              <a16:creationId xmlns:a16="http://schemas.microsoft.com/office/drawing/2014/main" id="{69114542-7A8A-4C27-BDA7-D2CDE3C19CF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00838" y="5924550"/>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23</xdr:row>
      <xdr:rowOff>0</xdr:rowOff>
    </xdr:from>
    <xdr:to>
      <xdr:col>14</xdr:col>
      <xdr:colOff>4763</xdr:colOff>
      <xdr:row>24</xdr:row>
      <xdr:rowOff>4763</xdr:rowOff>
    </xdr:to>
    <xdr:pic>
      <xdr:nvPicPr>
        <xdr:cNvPr id="5" name="Grafik 4">
          <a:hlinkClick xmlns:r="http://schemas.openxmlformats.org/officeDocument/2006/relationships" r:id="rId7"/>
          <a:extLst>
            <a:ext uri="{FF2B5EF4-FFF2-40B4-BE49-F238E27FC236}">
              <a16:creationId xmlns:a16="http://schemas.microsoft.com/office/drawing/2014/main" id="{AE5E1EAF-DC0E-4F94-80B3-9ABBD33714B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00838" y="6234113"/>
          <a:ext cx="919162"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0</xdr:colOff>
      <xdr:row>18</xdr:row>
      <xdr:rowOff>0</xdr:rowOff>
    </xdr:from>
    <xdr:to>
      <xdr:col>12</xdr:col>
      <xdr:colOff>4763</xdr:colOff>
      <xdr:row>19</xdr:row>
      <xdr:rowOff>4763</xdr:rowOff>
    </xdr:to>
    <xdr:pic>
      <xdr:nvPicPr>
        <xdr:cNvPr id="3" name="Grafik 2">
          <a:hlinkClick xmlns:r="http://schemas.openxmlformats.org/officeDocument/2006/relationships" r:id="rId1" tooltip="Zum K2-Blatt"/>
          <a:extLst>
            <a:ext uri="{FF2B5EF4-FFF2-40B4-BE49-F238E27FC236}">
              <a16:creationId xmlns:a16="http://schemas.microsoft.com/office/drawing/2014/main" id="{3B40706E-1DDD-47C5-9EB8-4BC387895A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0" y="4710113"/>
          <a:ext cx="2366963"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15</xdr:row>
      <xdr:rowOff>0</xdr:rowOff>
    </xdr:from>
    <xdr:to>
      <xdr:col>14</xdr:col>
      <xdr:colOff>4763</xdr:colOff>
      <xdr:row>16</xdr:row>
      <xdr:rowOff>4763</xdr:rowOff>
    </xdr:to>
    <xdr:pic>
      <xdr:nvPicPr>
        <xdr:cNvPr id="4" name="Grafik 3">
          <a:hlinkClick xmlns:r="http://schemas.openxmlformats.org/officeDocument/2006/relationships" r:id="rId3" tooltip="Zur Projektkalkulation"/>
          <a:extLst>
            <a:ext uri="{FF2B5EF4-FFF2-40B4-BE49-F238E27FC236}">
              <a16:creationId xmlns:a16="http://schemas.microsoft.com/office/drawing/2014/main" id="{7D40017F-199D-4F58-9A01-757619307C4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043738" y="3714750"/>
          <a:ext cx="919162"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14</xdr:row>
      <xdr:rowOff>0</xdr:rowOff>
    </xdr:from>
    <xdr:to>
      <xdr:col>14</xdr:col>
      <xdr:colOff>4763</xdr:colOff>
      <xdr:row>15</xdr:row>
      <xdr:rowOff>4763</xdr:rowOff>
    </xdr:to>
    <xdr:pic>
      <xdr:nvPicPr>
        <xdr:cNvPr id="5" name="Grafik 4">
          <a:hlinkClick xmlns:r="http://schemas.openxmlformats.org/officeDocument/2006/relationships" r:id="rId5" tooltip="Zum K2-Blatt"/>
          <a:extLst>
            <a:ext uri="{FF2B5EF4-FFF2-40B4-BE49-F238E27FC236}">
              <a16:creationId xmlns:a16="http://schemas.microsoft.com/office/drawing/2014/main" id="{61FE8D4B-5BE4-4739-883D-110D517459C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43738" y="3395663"/>
          <a:ext cx="919162"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wbsrv02.bwb.local\Daten\Projekte\2015\018-WKO%20-%20MLP%20Brosch&#252;re%202015\Unterlagen\USK-Empfehlung%202015-LN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YCLOUDEX2ULTRA\Daten\Users\akropik\Desktop\Kropik\Desktop\BUCH%20Kalk\2020%20K3%2002xx%20E+M%20Mittelloh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wbsrv02.bwb.local\Daten\Projekte\2016\026-WKO%20-%20MLP%20Brosch&#252;re%202016\Unterlagen\USK-Empfehlung%202016-LN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58">
          <cell r="H58">
            <v>39</v>
          </cell>
          <cell r="I58">
            <v>39</v>
          </cell>
        </row>
        <row r="79">
          <cell r="H79">
            <v>7.6314285714285699</v>
          </cell>
        </row>
        <row r="86">
          <cell r="H86">
            <v>4.29</v>
          </cell>
        </row>
        <row r="93">
          <cell r="H93">
            <v>0.5</v>
          </cell>
        </row>
        <row r="108">
          <cell r="H108">
            <v>25.86</v>
          </cell>
          <cell r="I108">
            <v>25.892318076923083</v>
          </cell>
        </row>
        <row r="115">
          <cell r="H115">
            <v>1.35</v>
          </cell>
          <cell r="I115">
            <v>1.35</v>
          </cell>
        </row>
        <row r="120">
          <cell r="H120">
            <v>2</v>
          </cell>
          <cell r="I120">
            <v>2</v>
          </cell>
        </row>
        <row r="139">
          <cell r="H139">
            <v>13.85</v>
          </cell>
          <cell r="I139">
            <v>13.655696616857176</v>
          </cell>
        </row>
        <row r="155">
          <cell r="H155">
            <v>5.21</v>
          </cell>
        </row>
        <row r="161">
          <cell r="H161">
            <v>2</v>
          </cell>
          <cell r="I161">
            <v>2</v>
          </cell>
        </row>
        <row r="168">
          <cell r="H168">
            <v>1.31</v>
          </cell>
        </row>
        <row r="174">
          <cell r="H174">
            <v>0.19</v>
          </cell>
        </row>
        <row r="184">
          <cell r="H184">
            <v>0.28000000000000003</v>
          </cell>
        </row>
        <row r="185">
          <cell r="I185">
            <v>0.27500000000000002</v>
          </cell>
        </row>
        <row r="190">
          <cell r="H190">
            <v>0.5</v>
          </cell>
        </row>
        <row r="196">
          <cell r="H196">
            <v>193.66857142857143</v>
          </cell>
          <cell r="I196">
            <v>193.3268814000231</v>
          </cell>
        </row>
        <row r="197">
          <cell r="H197">
            <v>0.51634604036350762</v>
          </cell>
          <cell r="I197">
            <v>0.51725864130133348</v>
          </cell>
        </row>
      </sheetData>
      <sheetData sheetId="1">
        <row r="12">
          <cell r="G12">
            <v>0.5</v>
          </cell>
          <cell r="H12">
            <v>0.5</v>
          </cell>
        </row>
        <row r="15">
          <cell r="G15">
            <v>26.9</v>
          </cell>
          <cell r="H15">
            <v>26.7</v>
          </cell>
        </row>
        <row r="27">
          <cell r="E27">
            <v>4.5000000000000005E-3</v>
          </cell>
        </row>
        <row r="29">
          <cell r="E29">
            <v>3.7000000000000005E-2</v>
          </cell>
          <cell r="F29">
            <v>3.85E-2</v>
          </cell>
        </row>
        <row r="31">
          <cell r="E31">
            <v>1.3000000000000001E-2</v>
          </cell>
        </row>
        <row r="39">
          <cell r="E39">
            <v>4650</v>
          </cell>
        </row>
      </sheetData>
      <sheetData sheetId="2">
        <row r="6">
          <cell r="L6">
            <v>0.51634604036350762</v>
          </cell>
          <cell r="M6">
            <v>0.51725864130133348</v>
          </cell>
        </row>
        <row r="8">
          <cell r="L8">
            <v>26.9</v>
          </cell>
          <cell r="M8">
            <v>26.7</v>
          </cell>
        </row>
        <row r="12">
          <cell r="L12">
            <v>0.65524312522129113</v>
          </cell>
          <cell r="M12">
            <v>0.65536669852878948</v>
          </cell>
        </row>
        <row r="21">
          <cell r="L21">
            <v>12.5903688</v>
          </cell>
          <cell r="M21">
            <v>12.8697499</v>
          </cell>
        </row>
        <row r="409">
          <cell r="M409">
            <v>4.6753751633425669</v>
          </cell>
        </row>
        <row r="418">
          <cell r="L418">
            <v>94.15794522774496</v>
          </cell>
          <cell r="M418">
            <v>95.206771630882429</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m KV-Daten"/>
      <sheetName val="Stamm Pers.NK"/>
      <sheetName val="Projekt"/>
      <sheetName val="K2 2020"/>
      <sheetName val=" K3 2020 MLP"/>
      <sheetName val=" K3 2020 Regie1"/>
      <sheetName val=" K3 2020 Regie2"/>
      <sheetName val=" K3 1999"/>
    </sheetNames>
    <sheetDataSet>
      <sheetData sheetId="0">
        <row r="7">
          <cell r="A7" t="str">
            <v>LG Techniker</v>
          </cell>
        </row>
        <row r="8">
          <cell r="A8" t="str">
            <v>LG 1 Spitzenfacharbeiter</v>
          </cell>
        </row>
        <row r="9">
          <cell r="A9" t="str">
            <v>LG 2 Qualifizierter Facharbeiter</v>
          </cell>
        </row>
        <row r="10">
          <cell r="A10" t="str">
            <v xml:space="preserve">LG 3 Facharbeiter </v>
          </cell>
        </row>
        <row r="11">
          <cell r="A11" t="str">
            <v>LG 4 Besonders qualifizierter Arbeitnehmer</v>
          </cell>
        </row>
        <row r="12">
          <cell r="A12" t="str">
            <v>LG 5 Qualifizierter Arbeitnehmer</v>
          </cell>
        </row>
        <row r="13">
          <cell r="A13" t="str">
            <v>LG 6 Arbeitnehmer mit Zweckausbildung</v>
          </cell>
        </row>
        <row r="14">
          <cell r="A14" t="str">
            <v>LG 7 Arbeitnehmer ohne Zweckausbildung</v>
          </cell>
        </row>
        <row r="15">
          <cell r="A15"/>
        </row>
        <row r="16">
          <cell r="A16" t="str">
            <v>1. Lehrjahr</v>
          </cell>
        </row>
        <row r="17">
          <cell r="A17" t="str">
            <v>2. Lehrjahr</v>
          </cell>
        </row>
        <row r="18">
          <cell r="A18" t="str">
            <v>3. Lehrjahr</v>
          </cell>
        </row>
        <row r="19">
          <cell r="A19" t="str">
            <v>4. Lehrjahr</v>
          </cell>
        </row>
        <row r="20">
          <cell r="A20"/>
        </row>
        <row r="21">
          <cell r="A21"/>
        </row>
        <row r="22">
          <cell r="A22"/>
        </row>
        <row r="23">
          <cell r="A23"/>
        </row>
        <row r="24">
          <cell r="A24"/>
        </row>
        <row r="25">
          <cell r="A25"/>
        </row>
        <row r="26">
          <cell r="A26"/>
        </row>
        <row r="27">
          <cell r="A27"/>
        </row>
        <row r="28">
          <cell r="A28"/>
        </row>
        <row r="29">
          <cell r="A29"/>
        </row>
        <row r="30">
          <cell r="A30"/>
        </row>
        <row r="31">
          <cell r="A31"/>
        </row>
        <row r="32">
          <cell r="A32"/>
        </row>
        <row r="33">
          <cell r="A33"/>
        </row>
        <row r="39">
          <cell r="A39" t="str">
            <v>Zeitausgleich 25%</v>
          </cell>
        </row>
        <row r="40">
          <cell r="A40"/>
        </row>
        <row r="41">
          <cell r="A41" t="str">
            <v>Überstunde 50%</v>
          </cell>
        </row>
        <row r="42">
          <cell r="A42" t="str">
            <v>Überstunde 75%</v>
          </cell>
        </row>
        <row r="43">
          <cell r="A43" t="str">
            <v>Überstunde 100%</v>
          </cell>
        </row>
        <row r="44">
          <cell r="A44"/>
        </row>
        <row r="45">
          <cell r="A45"/>
        </row>
        <row r="46">
          <cell r="A46"/>
        </row>
        <row r="47">
          <cell r="A47"/>
        </row>
        <row r="48">
          <cell r="A48"/>
        </row>
        <row r="50">
          <cell r="A50" t="str">
            <v>Sonntagszuschlag (Basis=Lohn)</v>
          </cell>
        </row>
        <row r="51">
          <cell r="A51"/>
        </row>
        <row r="52">
          <cell r="A52"/>
        </row>
        <row r="53">
          <cell r="A53"/>
        </row>
        <row r="54">
          <cell r="A54"/>
        </row>
        <row r="55">
          <cell r="A55"/>
        </row>
        <row r="56">
          <cell r="A56"/>
        </row>
        <row r="57">
          <cell r="A57"/>
        </row>
        <row r="58">
          <cell r="A58"/>
        </row>
        <row r="59">
          <cell r="A59"/>
        </row>
        <row r="61">
          <cell r="A61" t="str">
            <v>Nachtarbeitszulage (€), 22–6 Uhr</v>
          </cell>
        </row>
        <row r="62">
          <cell r="A62" t="str">
            <v>Schichtzulage (€), 2. Schicht</v>
          </cell>
        </row>
        <row r="63">
          <cell r="A63"/>
        </row>
        <row r="64">
          <cell r="A64"/>
        </row>
        <row r="65">
          <cell r="A65"/>
        </row>
        <row r="71">
          <cell r="A71" t="str">
            <v>Vorarbeiterzuschlag</v>
          </cell>
        </row>
        <row r="72">
          <cell r="A72" t="str">
            <v>Schmutzzulage</v>
          </cell>
        </row>
        <row r="73">
          <cell r="A73" t="str">
            <v>Erschwerniszulage</v>
          </cell>
        </row>
        <row r="74">
          <cell r="A74" t="str">
            <v>Gefahrenzulage</v>
          </cell>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103">
          <cell r="A103" t="str">
            <v>kleine Entfernungszulage (&gt;6Std)</v>
          </cell>
        </row>
        <row r="104">
          <cell r="A104" t="str">
            <v>mittlere Entfernungszulage (&gt;11Std)</v>
          </cell>
        </row>
        <row r="105">
          <cell r="A105" t="str">
            <v>große Entfernungszulage (&gt;11Std + Nächt.)</v>
          </cell>
        </row>
        <row r="106">
          <cell r="A106"/>
        </row>
        <row r="107">
          <cell r="A107" t="str">
            <v>Nächtigungsgeld</v>
          </cell>
        </row>
        <row r="108">
          <cell r="A108"/>
        </row>
        <row r="109">
          <cell r="A109"/>
        </row>
        <row r="110">
          <cell r="A110"/>
        </row>
        <row r="111">
          <cell r="A111"/>
        </row>
        <row r="112">
          <cell r="A112"/>
        </row>
        <row r="113">
          <cell r="A113"/>
        </row>
        <row r="114">
          <cell r="A114"/>
        </row>
        <row r="117">
          <cell r="A117" t="str">
            <v>Montagezulage</v>
          </cell>
        </row>
        <row r="118">
          <cell r="A118"/>
        </row>
        <row r="119">
          <cell r="A119"/>
        </row>
        <row r="122">
          <cell r="A122"/>
        </row>
        <row r="123">
          <cell r="A123"/>
        </row>
        <row r="124">
          <cell r="A124"/>
        </row>
        <row r="125">
          <cell r="A125"/>
        </row>
        <row r="126">
          <cell r="A126"/>
        </row>
        <row r="127">
          <cell r="A127"/>
        </row>
      </sheetData>
      <sheetData sheetId="1"/>
      <sheetData sheetId="2">
        <row r="5">
          <cell r="D5" t="str">
            <v>Stahlbau NN GmbH</v>
          </cell>
        </row>
        <row r="242">
          <cell r="A242" t="str">
            <v/>
          </cell>
        </row>
        <row r="243">
          <cell r="A243" t="str">
            <v>Fertigungsgemeinkosten</v>
          </cell>
        </row>
        <row r="244">
          <cell r="A244" t="str">
            <v>Bauleitungskosten (personelle BGK)</v>
          </cell>
        </row>
        <row r="245">
          <cell r="A245" t="str">
            <v>Eigene Kalkulation1</v>
          </cell>
        </row>
        <row r="246">
          <cell r="A246" t="str">
            <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L_AZ.XLS"/>
      <sheetName val="SV_SATZ.XLS"/>
      <sheetName val="KALK.XLS"/>
      <sheetName val="LOHNNK"/>
      <sheetName val="KV-TAB 2015 gewichtet"/>
      <sheetName val="Schlechtwetter"/>
    </sheetNames>
    <sheetDataSet>
      <sheetData sheetId="0">
        <row r="160">
          <cell r="I160">
            <v>2.25</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57FF-C61F-4DB2-B94B-EAB2DEDE0564}">
  <sheetPr>
    <tabColor rgb="FFFF0000"/>
  </sheetPr>
  <dimension ref="A1:AF206"/>
  <sheetViews>
    <sheetView showGridLines="0" zoomScaleNormal="100" workbookViewId="0">
      <selection activeCell="C11" sqref="C11:D11"/>
    </sheetView>
  </sheetViews>
  <sheetFormatPr baseColWidth="10" defaultColWidth="10.6640625" defaultRowHeight="15.75" x14ac:dyDescent="0.5"/>
  <cols>
    <col min="1" max="1" width="24" style="426" customWidth="1"/>
    <col min="2" max="2" width="3" style="426" customWidth="1"/>
    <col min="3" max="4" width="11.33203125" style="426" customWidth="1"/>
    <col min="5" max="5" width="3" style="426" customWidth="1"/>
    <col min="6" max="6" width="15.33203125" style="426" customWidth="1"/>
    <col min="7" max="7" width="2.77734375" style="426" customWidth="1"/>
    <col min="8" max="8" width="18.109375" style="870" customWidth="1"/>
    <col min="9" max="12" width="13.21875" style="871" customWidth="1"/>
    <col min="13" max="14" width="9.33203125" style="871" hidden="1" customWidth="1"/>
    <col min="15" max="22" width="10.6640625" style="871" hidden="1" customWidth="1"/>
    <col min="23" max="26" width="10.6640625" style="870" hidden="1" customWidth="1"/>
    <col min="27" max="27" width="0" style="870" hidden="1" customWidth="1"/>
    <col min="28" max="28" width="0" style="426" hidden="1" customWidth="1"/>
    <col min="29" max="16384" width="10.6640625" style="426"/>
  </cols>
  <sheetData>
    <row r="1" spans="1:32" ht="15.75" customHeight="1" x14ac:dyDescent="0.5">
      <c r="A1" s="425"/>
      <c r="B1" s="1220" t="s">
        <v>475</v>
      </c>
      <c r="C1" s="1221"/>
      <c r="D1" s="1221"/>
      <c r="E1" s="1221"/>
      <c r="F1" s="1221"/>
      <c r="G1" s="1222"/>
    </row>
    <row r="2" spans="1:32" x14ac:dyDescent="0.5">
      <c r="A2" s="427"/>
      <c r="B2" s="1223"/>
      <c r="C2" s="1224"/>
      <c r="D2" s="1224"/>
      <c r="E2" s="1224"/>
      <c r="F2" s="1224"/>
      <c r="G2" s="1225"/>
    </row>
    <row r="3" spans="1:32" x14ac:dyDescent="0.5">
      <c r="A3" s="427"/>
      <c r="B3" s="1223"/>
      <c r="C3" s="1224"/>
      <c r="D3" s="1224"/>
      <c r="E3" s="1224"/>
      <c r="F3" s="1224"/>
      <c r="G3" s="1225"/>
    </row>
    <row r="4" spans="1:32" x14ac:dyDescent="0.5">
      <c r="A4" s="427"/>
      <c r="B4" s="1223"/>
      <c r="C4" s="1224"/>
      <c r="D4" s="1224"/>
      <c r="E4" s="1224"/>
      <c r="F4" s="1224"/>
      <c r="G4" s="1225"/>
    </row>
    <row r="5" spans="1:32" ht="16.149999999999999" customHeight="1" x14ac:dyDescent="0.5">
      <c r="A5" s="427"/>
      <c r="B5" s="1226" t="s">
        <v>369</v>
      </c>
      <c r="C5" s="1227"/>
      <c r="D5" s="1234"/>
      <c r="E5" s="1234"/>
      <c r="F5" s="1234"/>
      <c r="G5" s="1235"/>
    </row>
    <row r="6" spans="1:32" x14ac:dyDescent="0.5">
      <c r="A6" s="427"/>
      <c r="B6" s="428"/>
      <c r="C6" s="428"/>
      <c r="D6" s="428"/>
      <c r="E6" s="428"/>
      <c r="F6" s="428"/>
      <c r="G6" s="429"/>
      <c r="I6" s="870"/>
      <c r="J6" s="870"/>
      <c r="K6" s="870"/>
      <c r="L6" s="870"/>
      <c r="M6" s="870"/>
      <c r="W6" s="871"/>
      <c r="X6" s="871"/>
      <c r="Y6" s="871"/>
      <c r="Z6" s="871"/>
      <c r="AA6" s="871"/>
      <c r="AB6" s="870"/>
      <c r="AC6" s="870"/>
      <c r="AD6" s="870"/>
      <c r="AE6" s="870"/>
      <c r="AF6" s="870"/>
    </row>
    <row r="7" spans="1:32" x14ac:dyDescent="0.5">
      <c r="A7" s="427" t="s">
        <v>337</v>
      </c>
      <c r="B7" s="428"/>
      <c r="C7" s="1228" t="s">
        <v>706</v>
      </c>
      <c r="D7" s="1229"/>
      <c r="E7" s="1229"/>
      <c r="F7" s="1230"/>
      <c r="G7" s="429"/>
      <c r="I7" s="870"/>
      <c r="J7" s="870"/>
      <c r="K7" s="870"/>
      <c r="L7" s="870"/>
      <c r="M7" s="870"/>
      <c r="W7" s="871"/>
      <c r="X7" s="871"/>
      <c r="Y7" s="871"/>
      <c r="Z7" s="871"/>
      <c r="AA7" s="871"/>
      <c r="AB7" s="870"/>
      <c r="AC7" s="870"/>
      <c r="AD7" s="870"/>
      <c r="AE7" s="870"/>
      <c r="AF7" s="870"/>
    </row>
    <row r="8" spans="1:32" x14ac:dyDescent="0.5">
      <c r="A8" s="427"/>
      <c r="B8" s="428"/>
      <c r="C8" s="668" t="str">
        <f>"&gt;"&amp;C7&amp;"&lt;"</f>
        <v>&gt;Musterfirma&lt;</v>
      </c>
      <c r="D8" s="428"/>
      <c r="E8" s="428"/>
      <c r="F8" s="428"/>
      <c r="G8" s="429"/>
      <c r="I8" s="1002"/>
      <c r="J8" s="870"/>
      <c r="K8" s="870"/>
      <c r="L8" s="870"/>
      <c r="M8" s="870"/>
      <c r="N8" s="878" t="s">
        <v>396</v>
      </c>
      <c r="O8" s="879"/>
      <c r="P8" s="880"/>
      <c r="Q8" s="880"/>
      <c r="R8" s="880"/>
      <c r="S8" s="880"/>
      <c r="T8" s="880"/>
      <c r="U8" s="880"/>
      <c r="V8" s="880"/>
      <c r="W8" s="880"/>
      <c r="X8" s="880"/>
      <c r="Y8" s="880"/>
      <c r="Z8" s="881"/>
      <c r="AA8" s="890"/>
      <c r="AB8" s="870"/>
      <c r="AC8" s="870"/>
      <c r="AD8" s="870"/>
      <c r="AE8" s="870"/>
      <c r="AF8" s="870"/>
    </row>
    <row r="9" spans="1:32" x14ac:dyDescent="0.5">
      <c r="A9" s="427" t="s">
        <v>338</v>
      </c>
      <c r="B9" s="428"/>
      <c r="C9" s="1231" t="s">
        <v>707</v>
      </c>
      <c r="D9" s="1231"/>
      <c r="E9" s="1231"/>
      <c r="F9" s="1231"/>
      <c r="G9" s="429"/>
      <c r="H9" s="1203"/>
      <c r="I9" s="875"/>
      <c r="J9" s="875"/>
      <c r="K9" s="875"/>
      <c r="L9" s="875"/>
      <c r="M9" s="875"/>
      <c r="N9" s="882" t="s">
        <v>397</v>
      </c>
      <c r="O9" s="759">
        <f>IF(C9="…",1,IF(C9="g01",2,IF(C9="g02",3,IF(C9="g03",4,IF(C9="g04",5,0)))))</f>
        <v>0</v>
      </c>
      <c r="P9" s="759"/>
      <c r="Q9" s="759"/>
      <c r="R9" s="759"/>
      <c r="S9" s="759"/>
      <c r="T9" s="759"/>
      <c r="U9" s="759"/>
      <c r="V9" s="759"/>
      <c r="W9" s="759"/>
      <c r="X9" s="759"/>
      <c r="Y9" s="759"/>
      <c r="Z9" s="883"/>
      <c r="AA9" s="891"/>
      <c r="AB9" s="870"/>
      <c r="AC9" s="870"/>
      <c r="AD9" s="870"/>
      <c r="AE9" s="870"/>
      <c r="AF9" s="870"/>
    </row>
    <row r="10" spans="1:32" s="432" customFormat="1" ht="16.149999999999999" customHeight="1" thickBot="1" x14ac:dyDescent="0.55000000000000004">
      <c r="A10" s="430"/>
      <c r="B10" s="431"/>
      <c r="C10" s="668" t="str">
        <f>"&gt;"&amp;C9&amp;"&lt;"</f>
        <v>&gt;Musterstraße&lt;</v>
      </c>
      <c r="D10" s="431"/>
      <c r="E10" s="431"/>
      <c r="F10" s="431"/>
      <c r="G10" s="666"/>
      <c r="H10" s="1203"/>
      <c r="I10" s="875"/>
      <c r="J10" s="875"/>
      <c r="K10" s="875"/>
      <c r="L10" s="875"/>
      <c r="M10" s="875"/>
      <c r="N10" s="884" t="s">
        <v>392</v>
      </c>
      <c r="O10" s="760"/>
      <c r="P10" s="760"/>
      <c r="Q10" s="760" t="str">
        <f>IFERROR(IF(OR(AND(_Verband&gt;1,RIGHT(C11,4)=O28),_Verband&lt;2),"OK!","f"),"f")</f>
        <v>OK!</v>
      </c>
      <c r="R10" s="760"/>
      <c r="S10" s="760"/>
      <c r="T10" s="760"/>
      <c r="U10" s="760"/>
      <c r="V10" s="760"/>
      <c r="W10" s="760"/>
      <c r="X10" s="760"/>
      <c r="Y10" s="760"/>
      <c r="Z10" s="885"/>
      <c r="AA10" s="892"/>
      <c r="AB10" s="872"/>
      <c r="AC10" s="872"/>
      <c r="AD10" s="872"/>
      <c r="AE10" s="872"/>
      <c r="AF10" s="872"/>
    </row>
    <row r="11" spans="1:32" ht="15.75" customHeight="1" thickTop="1" thickBot="1" x14ac:dyDescent="0.55000000000000004">
      <c r="A11" s="427" t="s">
        <v>368</v>
      </c>
      <c r="B11" s="428"/>
      <c r="C11" s="1232"/>
      <c r="D11" s="1233"/>
      <c r="E11" s="428"/>
      <c r="F11" s="1214" t="str">
        <f ca="1">IF(Q16="OK!","Lizenz und Laufzeit OK!","Keine gültige Lizenz, Aktivierung siehe www.bauwesen.at/k3")</f>
        <v>Keine gültige Lizenz, Aktivierung siehe www.bauwesen.at/k3</v>
      </c>
      <c r="G11" s="1215"/>
      <c r="H11" s="1203"/>
      <c r="I11" s="875"/>
      <c r="J11" s="875"/>
      <c r="K11" s="875"/>
      <c r="L11" s="875"/>
      <c r="M11" s="875"/>
      <c r="N11" s="882" t="str">
        <f>IF(_Verband&gt;1,O27,RIGHT(C11,4))</f>
        <v/>
      </c>
      <c r="O11" s="761" t="s">
        <v>393</v>
      </c>
      <c r="P11" s="759"/>
      <c r="Q11" s="760" t="str">
        <f>IFERROR(IF('L-Rechner'!B48=N12,"OK!","f"),"f")</f>
        <v>f</v>
      </c>
      <c r="R11" s="759"/>
      <c r="S11" s="759"/>
      <c r="T11" s="759"/>
      <c r="U11" s="759"/>
      <c r="V11" s="759"/>
      <c r="W11" s="759"/>
      <c r="X11" s="759"/>
      <c r="Y11" s="759"/>
      <c r="Z11" s="883"/>
      <c r="AA11" s="891"/>
      <c r="AB11" s="870"/>
      <c r="AC11" s="870"/>
      <c r="AD11" s="870"/>
      <c r="AE11" s="870"/>
      <c r="AF11" s="870"/>
    </row>
    <row r="12" spans="1:32" ht="16.149999999999999" thickTop="1" x14ac:dyDescent="0.5">
      <c r="A12" s="427"/>
      <c r="B12" s="428"/>
      <c r="C12" s="668" t="str">
        <f>"&gt;"&amp;C11&amp;"&lt;"</f>
        <v>&gt;&lt;</v>
      </c>
      <c r="D12" s="428"/>
      <c r="E12" s="428"/>
      <c r="F12" s="1216"/>
      <c r="G12" s="1217"/>
      <c r="H12" s="1203"/>
      <c r="I12" s="875"/>
      <c r="J12" s="875"/>
      <c r="K12" s="875"/>
      <c r="L12" s="875"/>
      <c r="M12" s="875"/>
      <c r="N12" s="1196" t="str">
        <f>LEFT(C11,19)&amp;N11</f>
        <v/>
      </c>
      <c r="O12" s="1197"/>
      <c r="P12" s="1197"/>
      <c r="Q12" s="759"/>
      <c r="R12" s="759"/>
      <c r="S12" s="759"/>
      <c r="T12" s="759"/>
      <c r="U12" s="759"/>
      <c r="V12" s="759"/>
      <c r="W12" s="759"/>
      <c r="X12" s="759"/>
      <c r="Y12" s="759"/>
      <c r="Z12" s="883"/>
      <c r="AA12" s="891"/>
      <c r="AB12" s="870"/>
      <c r="AC12" s="870"/>
      <c r="AD12" s="870"/>
      <c r="AE12" s="870"/>
      <c r="AF12" s="870"/>
    </row>
    <row r="13" spans="1:32" x14ac:dyDescent="0.5">
      <c r="A13" s="1242"/>
      <c r="B13" s="1243"/>
      <c r="C13" s="1243"/>
      <c r="D13" s="1243"/>
      <c r="E13" s="1243"/>
      <c r="F13" s="1243"/>
      <c r="G13" s="1244"/>
      <c r="H13" s="873"/>
      <c r="I13" s="873"/>
      <c r="J13" s="873"/>
      <c r="K13" s="873"/>
      <c r="L13" s="873"/>
      <c r="M13" s="873"/>
      <c r="N13" s="882"/>
      <c r="O13" s="759"/>
      <c r="P13" s="759"/>
      <c r="Q13" s="759"/>
      <c r="R13" s="759"/>
      <c r="S13" s="759"/>
      <c r="T13" s="759"/>
      <c r="U13" s="759"/>
      <c r="V13" s="759"/>
      <c r="W13" s="759"/>
      <c r="X13" s="759"/>
      <c r="Y13" s="759"/>
      <c r="Z13" s="883"/>
      <c r="AA13" s="891"/>
      <c r="AB13" s="870"/>
      <c r="AC13" s="870"/>
      <c r="AD13" s="870"/>
      <c r="AE13" s="870"/>
      <c r="AF13" s="870"/>
    </row>
    <row r="14" spans="1:32" x14ac:dyDescent="0.5">
      <c r="A14" s="545" t="s">
        <v>342</v>
      </c>
      <c r="B14" s="1245" t="e">
        <f>Q14</f>
        <v>#VALUE!</v>
      </c>
      <c r="C14" s="1245"/>
      <c r="D14" s="1198" t="str">
        <f ca="1">F11</f>
        <v>Keine gültige Lizenz, Aktivierung siehe www.bauwesen.at/k3</v>
      </c>
      <c r="E14" s="1198"/>
      <c r="F14" s="1198"/>
      <c r="G14" s="1199"/>
      <c r="H14" s="1202"/>
      <c r="I14" s="876"/>
      <c r="J14" s="876"/>
      <c r="K14" s="876"/>
      <c r="L14" s="876"/>
      <c r="M14" s="876"/>
      <c r="N14" s="886" t="str">
        <f>LEFT(C11,3)</f>
        <v/>
      </c>
      <c r="O14" s="762" t="str">
        <f>RIGHT(C11,7)</f>
        <v/>
      </c>
      <c r="P14" s="762" t="str">
        <f>LEFT(O14,3)</f>
        <v/>
      </c>
      <c r="Q14" s="763" t="e">
        <f>N14*1000+P14</f>
        <v>#VALUE!</v>
      </c>
      <c r="R14" s="759"/>
      <c r="S14" s="759"/>
      <c r="T14" s="759"/>
      <c r="U14" s="759"/>
      <c r="V14" s="759"/>
      <c r="W14" s="759"/>
      <c r="X14" s="759"/>
      <c r="Y14" s="759"/>
      <c r="Z14" s="883"/>
      <c r="AA14" s="891"/>
      <c r="AB14" s="870"/>
      <c r="AC14" s="870"/>
      <c r="AD14" s="870"/>
      <c r="AE14" s="870"/>
      <c r="AF14" s="870"/>
    </row>
    <row r="15" spans="1:32" x14ac:dyDescent="0.5">
      <c r="A15" s="433" t="s">
        <v>336</v>
      </c>
      <c r="B15" s="1246">
        <f ca="1">IFERROR(B14-TODAY(),-15)</f>
        <v>-15</v>
      </c>
      <c r="C15" s="1246"/>
      <c r="D15" s="1200"/>
      <c r="E15" s="1200"/>
      <c r="F15" s="1200"/>
      <c r="G15" s="1201"/>
      <c r="H15" s="1202"/>
      <c r="I15" s="876"/>
      <c r="J15" s="876"/>
      <c r="K15" s="876"/>
      <c r="L15" s="876"/>
      <c r="M15" s="876"/>
      <c r="N15" s="884" t="s">
        <v>394</v>
      </c>
      <c r="O15" s="759"/>
      <c r="P15" s="759"/>
      <c r="Q15" s="759" t="str">
        <f ca="1">IFERROR(IF(B15&gt;-14,"OK!","f"),"f")</f>
        <v>f</v>
      </c>
      <c r="R15" s="759"/>
      <c r="S15" s="759"/>
      <c r="T15" s="759"/>
      <c r="U15" s="759"/>
      <c r="V15" s="759"/>
      <c r="W15" s="759"/>
      <c r="X15" s="759"/>
      <c r="Y15" s="759"/>
      <c r="Z15" s="883"/>
      <c r="AA15" s="891"/>
      <c r="AB15" s="870"/>
      <c r="AC15" s="870"/>
      <c r="AD15" s="870"/>
      <c r="AE15" s="870"/>
      <c r="AF15" s="870"/>
    </row>
    <row r="16" spans="1:32" x14ac:dyDescent="0.5">
      <c r="A16" s="436"/>
      <c r="B16" s="517"/>
      <c r="C16" s="517"/>
      <c r="D16" s="436"/>
      <c r="E16" s="436"/>
      <c r="F16" s="519"/>
      <c r="G16" s="519"/>
      <c r="I16" s="870"/>
      <c r="J16" s="870"/>
      <c r="K16" s="870"/>
      <c r="L16" s="870"/>
      <c r="M16" s="870"/>
      <c r="N16" s="882"/>
      <c r="O16" s="759"/>
      <c r="P16" s="759" t="s">
        <v>377</v>
      </c>
      <c r="Q16" s="764" t="str">
        <f ca="1">IF(OR(AND(Q10="OK!",Q11="OK!",Q15="OK!"),Stammdaten!D157="e1g4j7k5"),"OK!","f")</f>
        <v>f</v>
      </c>
      <c r="R16" s="759"/>
      <c r="S16" s="759"/>
      <c r="T16" s="759"/>
      <c r="U16" s="759"/>
      <c r="V16" s="759"/>
      <c r="W16" s="759"/>
      <c r="X16" s="759"/>
      <c r="Y16" s="759"/>
      <c r="Z16" s="883"/>
      <c r="AA16" s="891"/>
      <c r="AB16" s="870"/>
      <c r="AC16" s="870"/>
      <c r="AD16" s="870"/>
      <c r="AE16" s="870"/>
      <c r="AF16" s="870"/>
    </row>
    <row r="17" spans="1:32" ht="79.150000000000006" customHeight="1" x14ac:dyDescent="0.5">
      <c r="A17" s="1247" t="str">
        <f>IF(_Verband=1,N18,IF(_Verband&gt;1,O30,""))</f>
        <v/>
      </c>
      <c r="B17" s="1248"/>
      <c r="C17" s="1248"/>
      <c r="D17" s="1248"/>
      <c r="E17" s="1248"/>
      <c r="F17" s="1248"/>
      <c r="G17" s="1249"/>
      <c r="H17" s="1218" t="str">
        <f ca="1">IFERROR(IF(_OK_KV?&lt;&gt;"OK_KV!",Stammdaten!L13,""),"Quelldatei geöffnet? Vorhandenes Blatt ausgewählt? Zulässigen KollV verwendet (bei Verbandslizenzierung für Mitglieder)?")</f>
        <v/>
      </c>
      <c r="I17" s="877"/>
      <c r="J17" s="877"/>
      <c r="K17" s="877"/>
      <c r="L17" s="877"/>
      <c r="M17" s="877"/>
      <c r="N17" s="882"/>
      <c r="O17" s="759"/>
      <c r="P17" s="759"/>
      <c r="Q17" s="759"/>
      <c r="R17" s="759"/>
      <c r="S17" s="759"/>
      <c r="T17" s="759"/>
      <c r="U17" s="759"/>
      <c r="V17" s="759"/>
      <c r="W17" s="759"/>
      <c r="X17" s="759"/>
      <c r="Y17" s="759"/>
      <c r="Z17" s="883"/>
      <c r="AA17" s="891"/>
      <c r="AB17" s="870"/>
      <c r="AC17" s="870"/>
      <c r="AD17" s="870"/>
      <c r="AE17" s="870"/>
      <c r="AF17" s="870"/>
    </row>
    <row r="18" spans="1:32" x14ac:dyDescent="0.5">
      <c r="A18" s="512" t="s">
        <v>354</v>
      </c>
      <c r="B18" s="1239" t="s">
        <v>678</v>
      </c>
      <c r="C18" s="1240"/>
      <c r="D18" s="1240"/>
      <c r="E18" s="1240"/>
      <c r="F18" s="1241"/>
      <c r="G18" s="486"/>
      <c r="H18" s="1218"/>
      <c r="I18" s="877"/>
      <c r="J18" s="877"/>
      <c r="K18" s="877"/>
      <c r="L18" s="877"/>
      <c r="M18" s="877"/>
      <c r="N18" s="882" t="s">
        <v>370</v>
      </c>
      <c r="O18" s="759"/>
      <c r="P18" s="759"/>
      <c r="Q18" s="759"/>
      <c r="R18" s="759" t="s">
        <v>22</v>
      </c>
      <c r="S18" s="759"/>
      <c r="T18" s="759"/>
      <c r="U18" s="759"/>
      <c r="V18" s="759"/>
      <c r="W18" s="759"/>
      <c r="X18" s="759"/>
      <c r="Y18" s="759"/>
      <c r="Z18" s="883"/>
      <c r="AA18" s="891"/>
      <c r="AB18" s="870"/>
      <c r="AC18" s="870"/>
      <c r="AD18" s="870"/>
      <c r="AE18" s="870"/>
      <c r="AF18" s="870"/>
    </row>
    <row r="19" spans="1:32" x14ac:dyDescent="0.5">
      <c r="A19" s="501" t="s">
        <v>355</v>
      </c>
      <c r="B19" s="1239" t="s">
        <v>679</v>
      </c>
      <c r="C19" s="1240"/>
      <c r="D19" s="1240"/>
      <c r="E19" s="1240"/>
      <c r="F19" s="1241"/>
      <c r="G19" s="514"/>
      <c r="H19" s="1218"/>
      <c r="I19" s="877"/>
      <c r="J19" s="877"/>
      <c r="K19" s="877"/>
      <c r="L19" s="877"/>
      <c r="M19" s="877"/>
      <c r="N19" s="882" t="s">
        <v>381</v>
      </c>
      <c r="O19" s="759" t="s">
        <v>382</v>
      </c>
      <c r="P19" s="759" t="b">
        <v>0</v>
      </c>
      <c r="Q19" s="759" t="s">
        <v>383</v>
      </c>
      <c r="R19" s="759" t="s">
        <v>384</v>
      </c>
      <c r="S19" s="759" t="s">
        <v>385</v>
      </c>
      <c r="T19" s="759" t="s">
        <v>450</v>
      </c>
      <c r="U19" s="759" t="s">
        <v>398</v>
      </c>
      <c r="V19" s="759" t="s">
        <v>399</v>
      </c>
      <c r="W19" s="759" t="s">
        <v>400</v>
      </c>
      <c r="X19" s="759" t="s">
        <v>401</v>
      </c>
      <c r="Y19" s="759" t="s">
        <v>402</v>
      </c>
      <c r="Z19" s="883" t="s">
        <v>406</v>
      </c>
      <c r="AA19" s="891" t="s">
        <v>421</v>
      </c>
      <c r="AB19" s="870"/>
      <c r="AC19" s="870"/>
      <c r="AD19" s="870"/>
      <c r="AE19" s="870"/>
      <c r="AF19" s="870"/>
    </row>
    <row r="20" spans="1:32" x14ac:dyDescent="0.5">
      <c r="A20" s="436"/>
      <c r="B20" s="517"/>
      <c r="C20" s="517"/>
      <c r="D20" s="436"/>
      <c r="E20" s="436"/>
      <c r="F20" s="519"/>
      <c r="G20" s="519"/>
      <c r="H20" s="1218"/>
      <c r="I20" s="877"/>
      <c r="J20" s="877"/>
      <c r="K20" s="877"/>
      <c r="L20" s="877"/>
      <c r="M20" s="877"/>
      <c r="N20" s="882" t="s">
        <v>582</v>
      </c>
      <c r="O20" s="759" t="s">
        <v>451</v>
      </c>
      <c r="P20" s="759" t="s">
        <v>395</v>
      </c>
      <c r="Q20" s="759" t="s">
        <v>487</v>
      </c>
      <c r="R20" s="759" t="s">
        <v>449</v>
      </c>
      <c r="S20" s="759" t="s">
        <v>488</v>
      </c>
      <c r="T20" s="759" t="s">
        <v>431</v>
      </c>
      <c r="U20" s="759" t="s">
        <v>404</v>
      </c>
      <c r="V20" s="759" t="s">
        <v>403</v>
      </c>
      <c r="W20" s="759" t="s">
        <v>428</v>
      </c>
      <c r="X20" s="759" t="s">
        <v>405</v>
      </c>
      <c r="Y20" s="759" t="s">
        <v>407</v>
      </c>
      <c r="Z20" s="883" t="s">
        <v>427</v>
      </c>
      <c r="AA20" s="893">
        <v>39</v>
      </c>
      <c r="AB20" s="870"/>
      <c r="AC20" s="870"/>
      <c r="AD20" s="870"/>
      <c r="AE20" s="870"/>
      <c r="AF20" s="870"/>
    </row>
    <row r="21" spans="1:32" x14ac:dyDescent="0.5">
      <c r="A21" s="1236" t="s">
        <v>352</v>
      </c>
      <c r="B21" s="1237"/>
      <c r="C21" s="1237"/>
      <c r="D21" s="1237"/>
      <c r="E21" s="1237"/>
      <c r="F21" s="1237"/>
      <c r="G21" s="1238"/>
      <c r="H21" s="1218"/>
      <c r="I21" s="877"/>
      <c r="J21" s="877"/>
      <c r="K21" s="877"/>
      <c r="L21" s="877"/>
      <c r="M21" s="877"/>
      <c r="N21" s="882" t="s">
        <v>583</v>
      </c>
      <c r="O21" s="759" t="s">
        <v>484</v>
      </c>
      <c r="P21" s="759" t="s">
        <v>485</v>
      </c>
      <c r="Q21" s="759" t="s">
        <v>487</v>
      </c>
      <c r="R21" s="759" t="s">
        <v>449</v>
      </c>
      <c r="S21" s="759" t="s">
        <v>488</v>
      </c>
      <c r="T21" s="759" t="s">
        <v>431</v>
      </c>
      <c r="U21" s="759" t="s">
        <v>404</v>
      </c>
      <c r="V21" s="759" t="s">
        <v>403</v>
      </c>
      <c r="W21" s="759" t="s">
        <v>428</v>
      </c>
      <c r="X21" s="759" t="s">
        <v>405</v>
      </c>
      <c r="Y21" s="759" t="s">
        <v>407</v>
      </c>
      <c r="Z21" s="883" t="s">
        <v>427</v>
      </c>
      <c r="AA21" s="893">
        <v>39</v>
      </c>
      <c r="AB21" s="870"/>
      <c r="AC21" s="870"/>
      <c r="AD21" s="870"/>
      <c r="AE21" s="870"/>
      <c r="AF21" s="870"/>
    </row>
    <row r="22" spans="1:32" x14ac:dyDescent="0.5">
      <c r="A22" s="485" t="s">
        <v>353</v>
      </c>
      <c r="B22" s="1213" t="str">
        <f ca="1">IFERROR(IF(AND(_OK?="OK!",_OK_KV?="OK_KV!"),C7,"Nur als Testversion nutzbar!"),"QUELLDATEI NICHT GEÖFFNET - siehe Stammdaten!!")</f>
        <v>Nur als Testversion nutzbar!</v>
      </c>
      <c r="C22" s="1213"/>
      <c r="D22" s="1213"/>
      <c r="E22" s="1213"/>
      <c r="F22" s="1213"/>
      <c r="G22" s="486"/>
      <c r="H22" s="1218"/>
      <c r="I22" s="877"/>
      <c r="J22" s="877"/>
      <c r="K22" s="877"/>
      <c r="L22" s="877"/>
      <c r="M22" s="877"/>
      <c r="N22" s="882" t="s">
        <v>371</v>
      </c>
      <c r="O22" s="759" t="s">
        <v>388</v>
      </c>
      <c r="P22" s="759" t="s">
        <v>390</v>
      </c>
      <c r="Q22" s="759" t="s">
        <v>372</v>
      </c>
      <c r="R22" s="759" t="s">
        <v>373</v>
      </c>
      <c r="S22" s="759" t="s">
        <v>379</v>
      </c>
      <c r="T22" s="759" t="s">
        <v>408</v>
      </c>
      <c r="U22" s="759" t="s">
        <v>410</v>
      </c>
      <c r="V22" s="759" t="s">
        <v>411</v>
      </c>
      <c r="W22" s="759" t="s">
        <v>412</v>
      </c>
      <c r="X22" s="759" t="s">
        <v>413</v>
      </c>
      <c r="Y22" s="759" t="s">
        <v>414</v>
      </c>
      <c r="Z22" s="883" t="s">
        <v>425</v>
      </c>
      <c r="AA22" s="893">
        <v>39</v>
      </c>
      <c r="AB22" s="870"/>
      <c r="AC22" s="870"/>
      <c r="AD22" s="870"/>
      <c r="AE22" s="870"/>
      <c r="AF22" s="870"/>
    </row>
    <row r="23" spans="1:32" x14ac:dyDescent="0.5">
      <c r="A23" s="485" t="s">
        <v>354</v>
      </c>
      <c r="B23" s="1219" t="str">
        <f>IF(O9&gt;0,B18,C9)</f>
        <v>Musterstraße</v>
      </c>
      <c r="C23" s="1219"/>
      <c r="D23" s="1219"/>
      <c r="E23" s="1219"/>
      <c r="F23" s="1219"/>
      <c r="G23" s="486"/>
      <c r="H23" s="1218"/>
      <c r="I23" s="877"/>
      <c r="J23" s="877"/>
      <c r="K23" s="877"/>
      <c r="L23" s="877"/>
      <c r="M23" s="877"/>
      <c r="N23" s="882" t="s">
        <v>374</v>
      </c>
      <c r="O23" s="759" t="s">
        <v>389</v>
      </c>
      <c r="P23" s="759" t="s">
        <v>391</v>
      </c>
      <c r="Q23" s="759" t="s">
        <v>375</v>
      </c>
      <c r="R23" s="759" t="s">
        <v>376</v>
      </c>
      <c r="S23" s="759" t="s">
        <v>380</v>
      </c>
      <c r="T23" s="759" t="s">
        <v>409</v>
      </c>
      <c r="U23" s="759" t="s">
        <v>415</v>
      </c>
      <c r="V23" s="759" t="s">
        <v>416</v>
      </c>
      <c r="W23" s="759" t="s">
        <v>417</v>
      </c>
      <c r="X23" s="759" t="s">
        <v>418</v>
      </c>
      <c r="Y23" s="759" t="s">
        <v>419</v>
      </c>
      <c r="Z23" s="883" t="s">
        <v>426</v>
      </c>
      <c r="AA23" s="893">
        <v>39</v>
      </c>
      <c r="AB23" s="870"/>
      <c r="AC23" s="870"/>
      <c r="AD23" s="870"/>
      <c r="AE23" s="870"/>
      <c r="AF23" s="870"/>
    </row>
    <row r="24" spans="1:32" x14ac:dyDescent="0.5">
      <c r="A24" s="433" t="s">
        <v>355</v>
      </c>
      <c r="B24" s="1250" t="str">
        <f>IF(O9&gt;0,B19,"")</f>
        <v/>
      </c>
      <c r="C24" s="1250"/>
      <c r="D24" s="1250"/>
      <c r="E24" s="1250"/>
      <c r="F24" s="1250"/>
      <c r="G24" s="483"/>
      <c r="H24" s="1218"/>
      <c r="I24" s="877"/>
      <c r="J24" s="877"/>
      <c r="K24" s="877"/>
      <c r="L24" s="877"/>
      <c r="M24" s="877"/>
      <c r="N24" s="882"/>
      <c r="O24" s="759"/>
      <c r="P24" s="759"/>
      <c r="Q24" s="759"/>
      <c r="R24" s="759"/>
      <c r="S24" s="759" t="s">
        <v>22</v>
      </c>
      <c r="T24" s="759" t="s">
        <v>22</v>
      </c>
      <c r="U24" s="759"/>
      <c r="V24" s="759"/>
      <c r="W24" s="759"/>
      <c r="X24" s="759"/>
      <c r="Y24" s="759"/>
      <c r="Z24" s="883"/>
      <c r="AA24" s="891"/>
      <c r="AB24" s="870"/>
      <c r="AC24" s="870"/>
      <c r="AD24" s="870"/>
      <c r="AE24" s="870"/>
      <c r="AF24" s="870"/>
    </row>
    <row r="25" spans="1:32" x14ac:dyDescent="0.5">
      <c r="G25" s="444"/>
      <c r="H25" s="1218"/>
      <c r="I25" s="877"/>
      <c r="J25" s="877"/>
      <c r="K25" s="877"/>
      <c r="L25" s="877"/>
      <c r="M25" s="877"/>
      <c r="N25" s="882"/>
      <c r="O25" s="759"/>
      <c r="P25" s="759"/>
      <c r="Q25" s="759"/>
      <c r="R25" s="759"/>
      <c r="S25" s="759" t="s">
        <v>22</v>
      </c>
      <c r="T25" s="759" t="s">
        <v>22</v>
      </c>
      <c r="U25" s="759"/>
      <c r="V25" s="759"/>
      <c r="W25" s="759"/>
      <c r="X25" s="759"/>
      <c r="Y25" s="759"/>
      <c r="Z25" s="883"/>
      <c r="AA25" s="891"/>
      <c r="AB25" s="870"/>
      <c r="AC25" s="870"/>
      <c r="AD25" s="870"/>
      <c r="AE25" s="870"/>
      <c r="AF25" s="870"/>
    </row>
    <row r="26" spans="1:32" x14ac:dyDescent="0.5">
      <c r="A26" s="1264" t="s">
        <v>558</v>
      </c>
      <c r="B26" s="1265"/>
      <c r="C26" s="1265"/>
      <c r="D26" s="1265"/>
      <c r="E26" s="1265"/>
      <c r="F26" s="1265"/>
      <c r="G26" s="1266"/>
      <c r="H26" s="1218"/>
      <c r="I26" s="877"/>
      <c r="J26" s="877"/>
      <c r="K26" s="877"/>
      <c r="L26" s="877"/>
      <c r="M26" s="877"/>
      <c r="N26" s="882"/>
      <c r="O26" s="759"/>
      <c r="P26" s="759"/>
      <c r="Q26" s="759"/>
      <c r="R26" s="759"/>
      <c r="S26" s="759"/>
      <c r="T26" s="759"/>
      <c r="U26" s="759"/>
      <c r="V26" s="759"/>
      <c r="W26" s="759"/>
      <c r="X26" s="759"/>
      <c r="Y26" s="759"/>
      <c r="Z26" s="883"/>
      <c r="AA26" s="891"/>
      <c r="AB26" s="870"/>
      <c r="AC26" s="870"/>
      <c r="AD26" s="870"/>
      <c r="AE26" s="870"/>
      <c r="AF26" s="870"/>
    </row>
    <row r="27" spans="1:32" x14ac:dyDescent="0.5">
      <c r="A27" s="500" t="s">
        <v>345</v>
      </c>
      <c r="B27" s="1210"/>
      <c r="C27" s="1211"/>
      <c r="D27" s="1211"/>
      <c r="E27" s="1211"/>
      <c r="F27" s="1211"/>
      <c r="G27" s="1212"/>
      <c r="H27" s="1218"/>
      <c r="I27" s="877"/>
      <c r="J27" s="877"/>
      <c r="K27" s="877"/>
      <c r="L27" s="877"/>
      <c r="M27" s="877"/>
      <c r="N27" s="882" t="s">
        <v>386</v>
      </c>
      <c r="O27" s="759" t="str">
        <f>IF(_Verband=2,O20,IF(_Verband=3,O21,IF(_Verband=4,O22,IF(_Verband=5,O23,""))))</f>
        <v/>
      </c>
      <c r="P27" s="759"/>
      <c r="Q27" s="759"/>
      <c r="R27" s="759"/>
      <c r="S27" s="759"/>
      <c r="T27" s="759"/>
      <c r="U27" s="759"/>
      <c r="V27" s="759"/>
      <c r="W27" s="759"/>
      <c r="X27" s="759"/>
      <c r="Y27" s="759"/>
      <c r="Z27" s="883"/>
      <c r="AA27" s="891"/>
      <c r="AB27" s="870"/>
      <c r="AC27" s="870"/>
      <c r="AD27" s="870"/>
      <c r="AE27" s="870"/>
      <c r="AF27" s="870"/>
    </row>
    <row r="28" spans="1:32" x14ac:dyDescent="0.5">
      <c r="A28" s="362"/>
      <c r="B28" s="362"/>
      <c r="C28" s="443"/>
      <c r="E28" s="362"/>
      <c r="F28" s="444"/>
      <c r="G28" s="444"/>
      <c r="H28" s="1218"/>
      <c r="I28" s="877"/>
      <c r="J28" s="877"/>
      <c r="K28" s="877"/>
      <c r="L28" s="877"/>
      <c r="M28" s="877"/>
      <c r="N28" s="882" t="s">
        <v>387</v>
      </c>
      <c r="O28" s="759" t="str">
        <f>IF(_Verband=2,P20,IF(_Verband=3,P21,IF(_Verband=4,P22,IF(_Verband=5,P23,""))))</f>
        <v/>
      </c>
      <c r="P28" s="759"/>
      <c r="Q28" s="759"/>
      <c r="R28" s="759"/>
      <c r="S28" s="759"/>
      <c r="T28" s="759"/>
      <c r="U28" s="759"/>
      <c r="V28" s="759"/>
      <c r="W28" s="759"/>
      <c r="X28" s="759"/>
      <c r="Y28" s="759"/>
      <c r="Z28" s="883"/>
      <c r="AA28" s="891"/>
      <c r="AB28" s="870"/>
      <c r="AC28" s="870"/>
      <c r="AD28" s="870"/>
      <c r="AE28" s="870"/>
      <c r="AF28" s="870"/>
    </row>
    <row r="29" spans="1:32" x14ac:dyDescent="0.5">
      <c r="A29" s="435" t="s">
        <v>482</v>
      </c>
      <c r="B29" s="1262" t="str">
        <f ca="1">B22</f>
        <v>Nur als Testversion nutzbar!</v>
      </c>
      <c r="C29" s="1262"/>
      <c r="D29" s="1262"/>
      <c r="E29" s="1262"/>
      <c r="F29" s="1262"/>
      <c r="G29" s="1263"/>
      <c r="H29" s="1218"/>
      <c r="I29" s="877"/>
      <c r="J29" s="877"/>
      <c r="K29" s="877"/>
      <c r="L29" s="877"/>
      <c r="M29" s="877"/>
      <c r="N29" s="882" t="str">
        <f>R19</f>
        <v>KollV</v>
      </c>
      <c r="O29" s="1205" t="str">
        <f>IF(_Verband=2,R20,IF(_Verband=3,R21,IF(_Verband=4,R22,IF(_Verband=5,R23,""))))</f>
        <v/>
      </c>
      <c r="P29" s="1205"/>
      <c r="Q29" s="1205"/>
      <c r="R29" s="1205"/>
      <c r="S29" s="759"/>
      <c r="T29" s="759"/>
      <c r="U29" s="759"/>
      <c r="V29" s="759"/>
      <c r="W29" s="759"/>
      <c r="X29" s="759"/>
      <c r="Y29" s="759"/>
      <c r="Z29" s="883"/>
      <c r="AA29" s="891"/>
      <c r="AB29" s="870"/>
      <c r="AC29" s="870"/>
      <c r="AD29" s="870"/>
      <c r="AE29" s="870"/>
      <c r="AF29" s="870"/>
    </row>
    <row r="30" spans="1:32" x14ac:dyDescent="0.5">
      <c r="A30" s="437"/>
      <c r="B30" s="438"/>
      <c r="C30" s="438"/>
      <c r="D30" s="439"/>
      <c r="E30" s="437"/>
      <c r="F30" s="437"/>
      <c r="I30" s="870"/>
      <c r="J30" s="870"/>
      <c r="K30" s="870"/>
      <c r="L30" s="870"/>
      <c r="M30" s="870"/>
      <c r="N30" s="882" t="str">
        <f>N19</f>
        <v>Tx: Stammdaten</v>
      </c>
      <c r="O30" s="1205" t="str">
        <f>IF(_Verband=2,N20,IF(_Verband=3,N21,IF(_Verband=4,N22,IF(_Verband=5,N23,""))))</f>
        <v/>
      </c>
      <c r="P30" s="1205"/>
      <c r="Q30" s="1205"/>
      <c r="R30" s="1205"/>
      <c r="S30" s="759"/>
      <c r="T30" s="759"/>
      <c r="U30" s="759"/>
      <c r="V30" s="759"/>
      <c r="W30" s="759"/>
      <c r="X30" s="759"/>
      <c r="Y30" s="759"/>
      <c r="Z30" s="883"/>
      <c r="AA30" s="891"/>
      <c r="AB30" s="870"/>
      <c r="AC30" s="870"/>
      <c r="AD30" s="870"/>
      <c r="AE30" s="870"/>
      <c r="AF30" s="870"/>
    </row>
    <row r="31" spans="1:32" x14ac:dyDescent="0.5">
      <c r="A31" s="1207" t="s">
        <v>344</v>
      </c>
      <c r="B31" s="1208"/>
      <c r="C31" s="1208"/>
      <c r="D31" s="1208"/>
      <c r="E31" s="1208"/>
      <c r="F31" s="1208"/>
      <c r="G31" s="1209"/>
      <c r="I31" s="870"/>
      <c r="J31" s="870"/>
      <c r="K31" s="870"/>
      <c r="L31" s="870"/>
      <c r="M31" s="870"/>
      <c r="N31" s="882" t="str">
        <f>Q19</f>
        <v>Tx : Projekt</v>
      </c>
      <c r="O31" s="1205" t="str">
        <f>IF(_Verband=2,Q20,IF(_Verband=3,Q21,IF(_Verband=4,Q22,IF(_Verband=5,Q23,""))))</f>
        <v/>
      </c>
      <c r="P31" s="1205"/>
      <c r="Q31" s="1205"/>
      <c r="R31" s="1205"/>
      <c r="S31" s="759"/>
      <c r="T31" s="759"/>
      <c r="U31" s="759"/>
      <c r="V31" s="759"/>
      <c r="W31" s="759"/>
      <c r="X31" s="759"/>
      <c r="Y31" s="759"/>
      <c r="Z31" s="883"/>
      <c r="AA31" s="891"/>
      <c r="AB31" s="870"/>
      <c r="AC31" s="870"/>
      <c r="AD31" s="870"/>
      <c r="AE31" s="870"/>
      <c r="AF31" s="870"/>
    </row>
    <row r="32" spans="1:32" x14ac:dyDescent="0.5">
      <c r="A32" s="462" t="s">
        <v>346</v>
      </c>
      <c r="B32" s="1206" t="s">
        <v>600</v>
      </c>
      <c r="C32" s="1206"/>
      <c r="D32" s="463" t="s">
        <v>664</v>
      </c>
      <c r="E32" s="463"/>
      <c r="F32" s="1251" t="s">
        <v>366</v>
      </c>
      <c r="G32" s="1252"/>
      <c r="I32" s="870"/>
      <c r="J32" s="870"/>
      <c r="K32" s="870"/>
      <c r="L32" s="870"/>
      <c r="M32" s="870"/>
      <c r="N32" s="882" t="str">
        <f>S19</f>
        <v>Tx: K-Blatt</v>
      </c>
      <c r="O32" s="1205" t="str">
        <f>IF(_Verband=2,S20,IF(_Verband=3,S21,IF(_Verband=4,S22,IF(_Verband=5,S23,""))))</f>
        <v/>
      </c>
      <c r="P32" s="1205"/>
      <c r="Q32" s="1205"/>
      <c r="R32" s="1205"/>
      <c r="S32" s="759"/>
      <c r="T32" s="759"/>
      <c r="U32" s="759"/>
      <c r="V32" s="759"/>
      <c r="W32" s="759"/>
      <c r="X32" s="759"/>
      <c r="Y32" s="759"/>
      <c r="Z32" s="883"/>
      <c r="AA32" s="891"/>
      <c r="AB32" s="870"/>
      <c r="AC32" s="870"/>
      <c r="AD32" s="870"/>
      <c r="AE32" s="870"/>
      <c r="AF32" s="870"/>
    </row>
    <row r="33" spans="1:32" x14ac:dyDescent="0.5">
      <c r="A33" s="433" t="s">
        <v>343</v>
      </c>
      <c r="B33" s="1204"/>
      <c r="C33" s="1204"/>
      <c r="D33" s="1204"/>
      <c r="E33" s="434"/>
      <c r="F33" s="434"/>
      <c r="G33" s="441"/>
      <c r="I33" s="870"/>
      <c r="J33" s="870"/>
      <c r="K33" s="870"/>
      <c r="L33" s="870"/>
      <c r="M33" s="870"/>
      <c r="N33" s="882" t="str">
        <f>T19</f>
        <v>KollV-Abfrage</v>
      </c>
      <c r="O33" s="760" t="str">
        <f>IF(_Verband=2,T20,IF(_Verband=3,T21,IF(_Verband=4,T22,IF(_Verband=5,T23,""))))</f>
        <v/>
      </c>
      <c r="P33" s="759"/>
      <c r="Q33" s="759"/>
      <c r="R33" s="759"/>
      <c r="S33" s="759"/>
      <c r="T33" s="759"/>
      <c r="U33" s="759"/>
      <c r="V33" s="759"/>
      <c r="W33" s="759"/>
      <c r="X33" s="759"/>
      <c r="Y33" s="759"/>
      <c r="Z33" s="883"/>
      <c r="AA33" s="891"/>
      <c r="AB33" s="870"/>
      <c r="AC33" s="870"/>
      <c r="AD33" s="870"/>
      <c r="AE33" s="870"/>
      <c r="AF33" s="870"/>
    </row>
    <row r="34" spans="1:32" x14ac:dyDescent="0.5">
      <c r="A34" s="362"/>
      <c r="B34" s="442"/>
      <c r="C34" s="362"/>
      <c r="D34" s="440"/>
      <c r="E34" s="362"/>
      <c r="F34" s="362"/>
      <c r="G34" s="362"/>
      <c r="I34" s="870"/>
      <c r="J34" s="870"/>
      <c r="K34" s="870"/>
      <c r="L34" s="870"/>
      <c r="M34" s="870"/>
      <c r="N34" s="882" t="str">
        <f>U19</f>
        <v>KollV-Tx1</v>
      </c>
      <c r="O34" s="760" t="str">
        <f>IF(_Verband=2,U20,IF(_Verband=3,U21,IF(_Verband=4,U22,IF(_Verband=5,U23,""))))</f>
        <v/>
      </c>
      <c r="P34" s="759"/>
      <c r="Q34" s="759"/>
      <c r="R34" s="759"/>
      <c r="S34" s="759"/>
      <c r="T34" s="759"/>
      <c r="U34" s="759"/>
      <c r="V34" s="759"/>
      <c r="W34" s="759"/>
      <c r="X34" s="759"/>
      <c r="Y34" s="759"/>
      <c r="Z34" s="883"/>
      <c r="AA34" s="891"/>
      <c r="AB34" s="870"/>
      <c r="AC34" s="870"/>
      <c r="AD34" s="870"/>
      <c r="AE34" s="870"/>
      <c r="AF34" s="870"/>
    </row>
    <row r="35" spans="1:32" x14ac:dyDescent="0.5">
      <c r="A35" s="362"/>
      <c r="B35" s="362"/>
      <c r="C35" s="362"/>
      <c r="D35" s="362"/>
      <c r="E35" s="362"/>
      <c r="F35" s="362"/>
      <c r="G35" s="362"/>
      <c r="I35" s="870"/>
      <c r="J35" s="870"/>
      <c r="K35" s="870"/>
      <c r="L35" s="870"/>
      <c r="M35" s="870"/>
      <c r="N35" s="882" t="str">
        <f>V19</f>
        <v>KollV-Tx2</v>
      </c>
      <c r="O35" s="760" t="str">
        <f>IF(_Verband=2,V20,IF(_Verband=3,V21,IF(_Verband=4,V22,IF(_Verband=5,V23,""))))</f>
        <v/>
      </c>
      <c r="P35" s="759"/>
      <c r="Q35" s="759"/>
      <c r="R35" s="759"/>
      <c r="S35" s="759"/>
      <c r="T35" s="759"/>
      <c r="U35" s="759"/>
      <c r="V35" s="759"/>
      <c r="W35" s="759"/>
      <c r="X35" s="759"/>
      <c r="Y35" s="759"/>
      <c r="Z35" s="883"/>
      <c r="AA35" s="891"/>
      <c r="AB35" s="870"/>
      <c r="AC35" s="870"/>
      <c r="AD35" s="870"/>
      <c r="AE35" s="870"/>
      <c r="AF35" s="870"/>
    </row>
    <row r="36" spans="1:32" ht="21" x14ac:dyDescent="0.65">
      <c r="A36" s="1277" t="s">
        <v>339</v>
      </c>
      <c r="B36" s="1278"/>
      <c r="C36" s="1278"/>
      <c r="D36" s="1278"/>
      <c r="E36" s="1278"/>
      <c r="F36" s="1278"/>
      <c r="G36" s="1279"/>
      <c r="H36" s="874"/>
      <c r="I36" s="873"/>
      <c r="J36" s="873"/>
      <c r="K36" s="873"/>
      <c r="L36" s="873"/>
      <c r="M36" s="873"/>
      <c r="N36" s="882" t="str">
        <f>W19</f>
        <v>KollV-Tx3</v>
      </c>
      <c r="O36" s="760" t="str">
        <f>IF(_Verband=2,W20,IF(_Verband=3,W21,IF(_Verband=4,W22,IF(_Verband=5,W23,""))))</f>
        <v/>
      </c>
      <c r="P36" s="759"/>
      <c r="Q36" s="759"/>
      <c r="R36" s="759"/>
      <c r="S36" s="759"/>
      <c r="T36" s="759"/>
      <c r="U36" s="759"/>
      <c r="V36" s="759"/>
      <c r="W36" s="759"/>
      <c r="X36" s="759"/>
      <c r="Y36" s="759"/>
      <c r="Z36" s="883"/>
      <c r="AA36" s="891"/>
      <c r="AB36" s="870"/>
      <c r="AC36" s="870"/>
      <c r="AD36" s="870"/>
      <c r="AE36" s="870"/>
      <c r="AF36" s="870"/>
    </row>
    <row r="37" spans="1:32" ht="15.95" customHeight="1" x14ac:dyDescent="0.5">
      <c r="A37" s="362"/>
      <c r="B37" s="362"/>
      <c r="C37" s="362"/>
      <c r="D37" s="362"/>
      <c r="E37" s="362"/>
      <c r="F37" s="362"/>
      <c r="G37" s="362"/>
      <c r="I37" s="870"/>
      <c r="J37" s="870"/>
      <c r="K37" s="870"/>
      <c r="L37" s="870"/>
      <c r="M37" s="870"/>
      <c r="N37" s="882" t="str">
        <f>X19</f>
        <v>KollV-Tx4</v>
      </c>
      <c r="O37" s="760" t="str">
        <f>IF(_Verband=2,X20,IF(_Verband=3,X21,IF(_Verband=4,X22,IF(_Verband=5,X23,""))))</f>
        <v/>
      </c>
      <c r="P37" s="759"/>
      <c r="Q37" s="759"/>
      <c r="R37" s="759"/>
      <c r="S37" s="759"/>
      <c r="T37" s="759"/>
      <c r="U37" s="759"/>
      <c r="V37" s="759"/>
      <c r="W37" s="759"/>
      <c r="X37" s="759"/>
      <c r="Y37" s="759"/>
      <c r="Z37" s="883"/>
      <c r="AA37" s="891"/>
      <c r="AB37" s="870"/>
      <c r="AC37" s="870"/>
      <c r="AD37" s="870"/>
      <c r="AE37" s="870"/>
      <c r="AF37" s="870"/>
    </row>
    <row r="38" spans="1:32" ht="15.95" customHeight="1" x14ac:dyDescent="0.5">
      <c r="A38" s="1253" t="s">
        <v>549</v>
      </c>
      <c r="B38" s="1254"/>
      <c r="C38" s="1254"/>
      <c r="D38" s="1254"/>
      <c r="E38" s="1254"/>
      <c r="F38" s="1254"/>
      <c r="G38" s="1255"/>
      <c r="I38" s="870"/>
      <c r="J38" s="870"/>
      <c r="K38" s="870"/>
      <c r="L38" s="870"/>
      <c r="M38" s="870"/>
      <c r="N38" s="882" t="str">
        <f>Y19</f>
        <v>KollV-Tx5</v>
      </c>
      <c r="O38" s="760" t="str">
        <f>IF(_Verband=2,Y20,IF(_Verband=3,Y21,IF(_Verband=4,Y22,IF(_Verband=5,Y23,""))))</f>
        <v/>
      </c>
      <c r="P38" s="759"/>
      <c r="Q38" s="759"/>
      <c r="R38" s="759"/>
      <c r="S38" s="759"/>
      <c r="T38" s="759"/>
      <c r="U38" s="759"/>
      <c r="V38" s="759"/>
      <c r="W38" s="759"/>
      <c r="X38" s="759"/>
      <c r="Y38" s="759"/>
      <c r="Z38" s="883"/>
      <c r="AA38" s="891"/>
      <c r="AB38" s="870"/>
      <c r="AC38" s="870"/>
      <c r="AD38" s="870"/>
      <c r="AE38" s="870"/>
      <c r="AF38" s="870"/>
    </row>
    <row r="39" spans="1:32" ht="15.95" customHeight="1" x14ac:dyDescent="0.5">
      <c r="A39" s="1256"/>
      <c r="B39" s="1257"/>
      <c r="C39" s="1257"/>
      <c r="D39" s="1257"/>
      <c r="E39" s="1257"/>
      <c r="F39" s="1257"/>
      <c r="G39" s="1258"/>
      <c r="I39" s="870"/>
      <c r="J39" s="870"/>
      <c r="K39" s="870"/>
      <c r="L39" s="870"/>
      <c r="M39" s="870"/>
      <c r="N39" s="882" t="str">
        <f>Z19</f>
        <v>KollV-Tx6</v>
      </c>
      <c r="O39" s="760" t="str">
        <f>IF(_Verband=2,Z20,IF(_Verband=3,Z21,IF(_Verband=4,Z22,IF(_Verband=5,Z23,""))))</f>
        <v/>
      </c>
      <c r="P39" s="759"/>
      <c r="Q39" s="759"/>
      <c r="R39" s="759"/>
      <c r="S39" s="759"/>
      <c r="T39" s="759"/>
      <c r="U39" s="759"/>
      <c r="V39" s="759"/>
      <c r="W39" s="759"/>
      <c r="X39" s="759"/>
      <c r="Y39" s="759"/>
      <c r="Z39" s="883"/>
      <c r="AA39" s="891"/>
      <c r="AB39" s="870"/>
      <c r="AC39" s="870"/>
      <c r="AD39" s="870"/>
      <c r="AE39" s="870"/>
      <c r="AF39" s="870"/>
    </row>
    <row r="40" spans="1:32" ht="15.95" customHeight="1" x14ac:dyDescent="0.5">
      <c r="A40" s="1256"/>
      <c r="B40" s="1257"/>
      <c r="C40" s="1257"/>
      <c r="D40" s="1257"/>
      <c r="E40" s="1257"/>
      <c r="F40" s="1257"/>
      <c r="G40" s="1258"/>
      <c r="I40" s="870"/>
      <c r="J40" s="870"/>
      <c r="K40" s="870"/>
      <c r="L40" s="870"/>
      <c r="M40" s="870"/>
      <c r="N40" s="882" t="s">
        <v>420</v>
      </c>
      <c r="O40" s="760" t="str">
        <f>IF(_Verband=2,AA20,IF(_Verband=3,AA21,IF(_Verband=4,AA22,IF(_Verband=5,AA23,""))))</f>
        <v/>
      </c>
      <c r="P40" s="759"/>
      <c r="Q40" s="759"/>
      <c r="R40" s="759"/>
      <c r="S40" s="759"/>
      <c r="T40" s="759"/>
      <c r="U40" s="759"/>
      <c r="V40" s="759"/>
      <c r="W40" s="759"/>
      <c r="X40" s="759"/>
      <c r="Y40" s="759"/>
      <c r="Z40" s="883"/>
      <c r="AA40" s="891"/>
      <c r="AB40" s="870"/>
      <c r="AC40" s="870"/>
      <c r="AD40" s="870"/>
      <c r="AE40" s="870"/>
      <c r="AF40" s="870"/>
    </row>
    <row r="41" spans="1:32" ht="15.95" customHeight="1" x14ac:dyDescent="0.5">
      <c r="A41" s="1256"/>
      <c r="B41" s="1257"/>
      <c r="C41" s="1257"/>
      <c r="D41" s="1257"/>
      <c r="E41" s="1257"/>
      <c r="F41" s="1257"/>
      <c r="G41" s="1258"/>
      <c r="N41" s="887"/>
      <c r="O41" s="888"/>
      <c r="P41" s="888"/>
      <c r="Q41" s="888"/>
      <c r="R41" s="888"/>
      <c r="S41" s="888"/>
      <c r="T41" s="888"/>
      <c r="U41" s="888"/>
      <c r="V41" s="888"/>
      <c r="W41" s="888"/>
      <c r="X41" s="888"/>
      <c r="Y41" s="888"/>
      <c r="Z41" s="889"/>
      <c r="AA41" s="894"/>
    </row>
    <row r="42" spans="1:32" ht="15.95" customHeight="1" x14ac:dyDescent="0.5">
      <c r="A42" s="1256"/>
      <c r="B42" s="1257"/>
      <c r="C42" s="1257"/>
      <c r="D42" s="1257"/>
      <c r="E42" s="1257"/>
      <c r="F42" s="1257"/>
      <c r="G42" s="1258"/>
    </row>
    <row r="43" spans="1:32" ht="15.95" customHeight="1" x14ac:dyDescent="0.5">
      <c r="A43" s="1256"/>
      <c r="B43" s="1257"/>
      <c r="C43" s="1257"/>
      <c r="D43" s="1257"/>
      <c r="E43" s="1257"/>
      <c r="F43" s="1257"/>
      <c r="G43" s="1258"/>
    </row>
    <row r="44" spans="1:32" ht="15.95" customHeight="1" x14ac:dyDescent="0.5">
      <c r="A44" s="1256"/>
      <c r="B44" s="1257"/>
      <c r="C44" s="1257"/>
      <c r="D44" s="1257"/>
      <c r="E44" s="1257"/>
      <c r="F44" s="1257"/>
      <c r="G44" s="1258"/>
    </row>
    <row r="45" spans="1:32" ht="15.95" customHeight="1" x14ac:dyDescent="0.5">
      <c r="A45" s="1256"/>
      <c r="B45" s="1257"/>
      <c r="C45" s="1257"/>
      <c r="D45" s="1257"/>
      <c r="E45" s="1257"/>
      <c r="F45" s="1257"/>
      <c r="G45" s="1258"/>
    </row>
    <row r="46" spans="1:32" x14ac:dyDescent="0.5">
      <c r="A46" s="1256"/>
      <c r="B46" s="1257"/>
      <c r="C46" s="1257"/>
      <c r="D46" s="1257"/>
      <c r="E46" s="1257"/>
      <c r="F46" s="1257"/>
      <c r="G46" s="1258"/>
    </row>
    <row r="47" spans="1:32" x14ac:dyDescent="0.5">
      <c r="A47" s="1256"/>
      <c r="B47" s="1257"/>
      <c r="C47" s="1257"/>
      <c r="D47" s="1257"/>
      <c r="E47" s="1257"/>
      <c r="F47" s="1257"/>
      <c r="G47" s="1258"/>
    </row>
    <row r="48" spans="1:32" x14ac:dyDescent="0.5">
      <c r="A48" s="1256"/>
      <c r="B48" s="1257"/>
      <c r="C48" s="1257"/>
      <c r="D48" s="1257"/>
      <c r="E48" s="1257"/>
      <c r="F48" s="1257"/>
      <c r="G48" s="1258"/>
    </row>
    <row r="49" spans="1:7" x14ac:dyDescent="0.5">
      <c r="A49" s="1256"/>
      <c r="B49" s="1257"/>
      <c r="C49" s="1257"/>
      <c r="D49" s="1257"/>
      <c r="E49" s="1257"/>
      <c r="F49" s="1257"/>
      <c r="G49" s="1258"/>
    </row>
    <row r="50" spans="1:7" x14ac:dyDescent="0.5">
      <c r="A50" s="1256"/>
      <c r="B50" s="1257"/>
      <c r="C50" s="1257"/>
      <c r="D50" s="1257"/>
      <c r="E50" s="1257"/>
      <c r="F50" s="1257"/>
      <c r="G50" s="1258"/>
    </row>
    <row r="51" spans="1:7" x14ac:dyDescent="0.5">
      <c r="A51" s="1256"/>
      <c r="B51" s="1257"/>
      <c r="C51" s="1257"/>
      <c r="D51" s="1257"/>
      <c r="E51" s="1257"/>
      <c r="F51" s="1257"/>
      <c r="G51" s="1258"/>
    </row>
    <row r="52" spans="1:7" x14ac:dyDescent="0.5">
      <c r="A52" s="1256"/>
      <c r="B52" s="1257"/>
      <c r="C52" s="1257"/>
      <c r="D52" s="1257"/>
      <c r="E52" s="1257"/>
      <c r="F52" s="1257"/>
      <c r="G52" s="1258"/>
    </row>
    <row r="53" spans="1:7" x14ac:dyDescent="0.5">
      <c r="A53" s="1256"/>
      <c r="B53" s="1257"/>
      <c r="C53" s="1257"/>
      <c r="D53" s="1257"/>
      <c r="E53" s="1257"/>
      <c r="F53" s="1257"/>
      <c r="G53" s="1258"/>
    </row>
    <row r="54" spans="1:7" x14ac:dyDescent="0.5">
      <c r="A54" s="1256"/>
      <c r="B54" s="1257"/>
      <c r="C54" s="1257"/>
      <c r="D54" s="1257"/>
      <c r="E54" s="1257"/>
      <c r="F54" s="1257"/>
      <c r="G54" s="1258"/>
    </row>
    <row r="55" spans="1:7" x14ac:dyDescent="0.5">
      <c r="A55" s="1256"/>
      <c r="B55" s="1257"/>
      <c r="C55" s="1257"/>
      <c r="D55" s="1257"/>
      <c r="E55" s="1257"/>
      <c r="F55" s="1257"/>
      <c r="G55" s="1258"/>
    </row>
    <row r="56" spans="1:7" x14ac:dyDescent="0.5">
      <c r="A56" s="1256"/>
      <c r="B56" s="1257"/>
      <c r="C56" s="1257"/>
      <c r="D56" s="1257"/>
      <c r="E56" s="1257"/>
      <c r="F56" s="1257"/>
      <c r="G56" s="1258"/>
    </row>
    <row r="57" spans="1:7" x14ac:dyDescent="0.5">
      <c r="A57" s="1256"/>
      <c r="B57" s="1257"/>
      <c r="C57" s="1257"/>
      <c r="D57" s="1257"/>
      <c r="E57" s="1257"/>
      <c r="F57" s="1257"/>
      <c r="G57" s="1258"/>
    </row>
    <row r="58" spans="1:7" x14ac:dyDescent="0.5">
      <c r="A58" s="1256"/>
      <c r="B58" s="1257"/>
      <c r="C58" s="1257"/>
      <c r="D58" s="1257"/>
      <c r="E58" s="1257"/>
      <c r="F58" s="1257"/>
      <c r="G58" s="1258"/>
    </row>
    <row r="59" spans="1:7" x14ac:dyDescent="0.5">
      <c r="A59" s="1256"/>
      <c r="B59" s="1257"/>
      <c r="C59" s="1257"/>
      <c r="D59" s="1257"/>
      <c r="E59" s="1257"/>
      <c r="F59" s="1257"/>
      <c r="G59" s="1258"/>
    </row>
    <row r="60" spans="1:7" x14ac:dyDescent="0.5">
      <c r="A60" s="1256"/>
      <c r="B60" s="1257"/>
      <c r="C60" s="1257"/>
      <c r="D60" s="1257"/>
      <c r="E60" s="1257"/>
      <c r="F60" s="1257"/>
      <c r="G60" s="1258"/>
    </row>
    <row r="61" spans="1:7" x14ac:dyDescent="0.5">
      <c r="A61" s="1256"/>
      <c r="B61" s="1257"/>
      <c r="C61" s="1257"/>
      <c r="D61" s="1257"/>
      <c r="E61" s="1257"/>
      <c r="F61" s="1257"/>
      <c r="G61" s="1258"/>
    </row>
    <row r="62" spans="1:7" x14ac:dyDescent="0.5">
      <c r="A62" s="1256"/>
      <c r="B62" s="1257"/>
      <c r="C62" s="1257"/>
      <c r="D62" s="1257"/>
      <c r="E62" s="1257"/>
      <c r="F62" s="1257"/>
      <c r="G62" s="1258"/>
    </row>
    <row r="63" spans="1:7" x14ac:dyDescent="0.5">
      <c r="A63" s="1256"/>
      <c r="B63" s="1257"/>
      <c r="C63" s="1257"/>
      <c r="D63" s="1257"/>
      <c r="E63" s="1257"/>
      <c r="F63" s="1257"/>
      <c r="G63" s="1258"/>
    </row>
    <row r="64" spans="1:7" x14ac:dyDescent="0.5">
      <c r="A64" s="1256"/>
      <c r="B64" s="1257"/>
      <c r="C64" s="1257"/>
      <c r="D64" s="1257"/>
      <c r="E64" s="1257"/>
      <c r="F64" s="1257"/>
      <c r="G64" s="1258"/>
    </row>
    <row r="65" spans="1:7" x14ac:dyDescent="0.5">
      <c r="A65" s="1259"/>
      <c r="B65" s="1260"/>
      <c r="C65" s="1260"/>
      <c r="D65" s="1260"/>
      <c r="E65" s="1260"/>
      <c r="F65" s="1260"/>
      <c r="G65" s="1261"/>
    </row>
    <row r="67" spans="1:7" ht="15.75" customHeight="1" x14ac:dyDescent="0.5">
      <c r="A67" s="1276" t="s">
        <v>489</v>
      </c>
      <c r="B67" s="1254"/>
      <c r="C67" s="1254"/>
      <c r="D67" s="1254"/>
      <c r="E67" s="1254"/>
      <c r="F67" s="1254"/>
      <c r="G67" s="1255"/>
    </row>
    <row r="68" spans="1:7" x14ac:dyDescent="0.5">
      <c r="A68" s="1256"/>
      <c r="B68" s="1257"/>
      <c r="C68" s="1257"/>
      <c r="D68" s="1257"/>
      <c r="E68" s="1257"/>
      <c r="F68" s="1257"/>
      <c r="G68" s="1258"/>
    </row>
    <row r="69" spans="1:7" x14ac:dyDescent="0.5">
      <c r="A69" s="1256"/>
      <c r="B69" s="1257"/>
      <c r="C69" s="1257"/>
      <c r="D69" s="1257"/>
      <c r="E69" s="1257"/>
      <c r="F69" s="1257"/>
      <c r="G69" s="1258"/>
    </row>
    <row r="70" spans="1:7" x14ac:dyDescent="0.5">
      <c r="A70" s="1256"/>
      <c r="B70" s="1257"/>
      <c r="C70" s="1257"/>
      <c r="D70" s="1257"/>
      <c r="E70" s="1257"/>
      <c r="F70" s="1257"/>
      <c r="G70" s="1258"/>
    </row>
    <row r="71" spans="1:7" x14ac:dyDescent="0.5">
      <c r="A71" s="1256"/>
      <c r="B71" s="1257"/>
      <c r="C71" s="1257"/>
      <c r="D71" s="1257"/>
      <c r="E71" s="1257"/>
      <c r="F71" s="1257"/>
      <c r="G71" s="1258"/>
    </row>
    <row r="72" spans="1:7" x14ac:dyDescent="0.5">
      <c r="A72" s="1256"/>
      <c r="B72" s="1257"/>
      <c r="C72" s="1257"/>
      <c r="D72" s="1257"/>
      <c r="E72" s="1257"/>
      <c r="F72" s="1257"/>
      <c r="G72" s="1258"/>
    </row>
    <row r="73" spans="1:7" x14ac:dyDescent="0.5">
      <c r="A73" s="1256"/>
      <c r="B73" s="1257"/>
      <c r="C73" s="1257"/>
      <c r="D73" s="1257"/>
      <c r="E73" s="1257"/>
      <c r="F73" s="1257"/>
      <c r="G73" s="1258"/>
    </row>
    <row r="74" spans="1:7" x14ac:dyDescent="0.5">
      <c r="A74" s="1256"/>
      <c r="B74" s="1257"/>
      <c r="C74" s="1257"/>
      <c r="D74" s="1257"/>
      <c r="E74" s="1257"/>
      <c r="F74" s="1257"/>
      <c r="G74" s="1258"/>
    </row>
    <row r="75" spans="1:7" x14ac:dyDescent="0.5">
      <c r="A75" s="1256"/>
      <c r="B75" s="1257"/>
      <c r="C75" s="1257"/>
      <c r="D75" s="1257"/>
      <c r="E75" s="1257"/>
      <c r="F75" s="1257"/>
      <c r="G75" s="1258"/>
    </row>
    <row r="76" spans="1:7" x14ac:dyDescent="0.5">
      <c r="A76" s="1256"/>
      <c r="B76" s="1257"/>
      <c r="C76" s="1257"/>
      <c r="D76" s="1257"/>
      <c r="E76" s="1257"/>
      <c r="F76" s="1257"/>
      <c r="G76" s="1258"/>
    </row>
    <row r="77" spans="1:7" x14ac:dyDescent="0.5">
      <c r="A77" s="1256"/>
      <c r="B77" s="1257"/>
      <c r="C77" s="1257"/>
      <c r="D77" s="1257"/>
      <c r="E77" s="1257"/>
      <c r="F77" s="1257"/>
      <c r="G77" s="1258"/>
    </row>
    <row r="78" spans="1:7" x14ac:dyDescent="0.5">
      <c r="A78" s="1256"/>
      <c r="B78" s="1257"/>
      <c r="C78" s="1257"/>
      <c r="D78" s="1257"/>
      <c r="E78" s="1257"/>
      <c r="F78" s="1257"/>
      <c r="G78" s="1258"/>
    </row>
    <row r="79" spans="1:7" x14ac:dyDescent="0.5">
      <c r="A79" s="1256"/>
      <c r="B79" s="1257"/>
      <c r="C79" s="1257"/>
      <c r="D79" s="1257"/>
      <c r="E79" s="1257"/>
      <c r="F79" s="1257"/>
      <c r="G79" s="1258"/>
    </row>
    <row r="80" spans="1:7" x14ac:dyDescent="0.5">
      <c r="A80" s="1256"/>
      <c r="B80" s="1257"/>
      <c r="C80" s="1257"/>
      <c r="D80" s="1257"/>
      <c r="E80" s="1257"/>
      <c r="F80" s="1257"/>
      <c r="G80" s="1258"/>
    </row>
    <row r="81" spans="1:7" x14ac:dyDescent="0.5">
      <c r="A81" s="1256"/>
      <c r="B81" s="1257"/>
      <c r="C81" s="1257"/>
      <c r="D81" s="1257"/>
      <c r="E81" s="1257"/>
      <c r="F81" s="1257"/>
      <c r="G81" s="1258"/>
    </row>
    <row r="82" spans="1:7" x14ac:dyDescent="0.5">
      <c r="A82" s="1256"/>
      <c r="B82" s="1257"/>
      <c r="C82" s="1257"/>
      <c r="D82" s="1257"/>
      <c r="E82" s="1257"/>
      <c r="F82" s="1257"/>
      <c r="G82" s="1258"/>
    </row>
    <row r="83" spans="1:7" x14ac:dyDescent="0.5">
      <c r="A83" s="1256"/>
      <c r="B83" s="1257"/>
      <c r="C83" s="1257"/>
      <c r="D83" s="1257"/>
      <c r="E83" s="1257"/>
      <c r="F83" s="1257"/>
      <c r="G83" s="1258"/>
    </row>
    <row r="84" spans="1:7" x14ac:dyDescent="0.5">
      <c r="A84" s="1256"/>
      <c r="B84" s="1257"/>
      <c r="C84" s="1257"/>
      <c r="D84" s="1257"/>
      <c r="E84" s="1257"/>
      <c r="F84" s="1257"/>
      <c r="G84" s="1258"/>
    </row>
    <row r="85" spans="1:7" x14ac:dyDescent="0.5">
      <c r="A85" s="1256"/>
      <c r="B85" s="1257"/>
      <c r="C85" s="1257"/>
      <c r="D85" s="1257"/>
      <c r="E85" s="1257"/>
      <c r="F85" s="1257"/>
      <c r="G85" s="1258"/>
    </row>
    <row r="86" spans="1:7" x14ac:dyDescent="0.5">
      <c r="A86" s="1256"/>
      <c r="B86" s="1257"/>
      <c r="C86" s="1257"/>
      <c r="D86" s="1257"/>
      <c r="E86" s="1257"/>
      <c r="F86" s="1257"/>
      <c r="G86" s="1258"/>
    </row>
    <row r="87" spans="1:7" x14ac:dyDescent="0.5">
      <c r="A87" s="1256"/>
      <c r="B87" s="1257"/>
      <c r="C87" s="1257"/>
      <c r="D87" s="1257"/>
      <c r="E87" s="1257"/>
      <c r="F87" s="1257"/>
      <c r="G87" s="1258"/>
    </row>
    <row r="88" spans="1:7" x14ac:dyDescent="0.5">
      <c r="A88" s="1256"/>
      <c r="B88" s="1257"/>
      <c r="C88" s="1257"/>
      <c r="D88" s="1257"/>
      <c r="E88" s="1257"/>
      <c r="F88" s="1257"/>
      <c r="G88" s="1258"/>
    </row>
    <row r="89" spans="1:7" x14ac:dyDescent="0.5">
      <c r="A89" s="1259"/>
      <c r="B89" s="1260"/>
      <c r="C89" s="1260"/>
      <c r="D89" s="1260"/>
      <c r="E89" s="1260"/>
      <c r="F89" s="1260"/>
      <c r="G89" s="1261"/>
    </row>
    <row r="92" spans="1:7" ht="15.75" customHeight="1" x14ac:dyDescent="0.5">
      <c r="A92" s="1253" t="s">
        <v>490</v>
      </c>
      <c r="B92" s="1254"/>
      <c r="C92" s="1254"/>
      <c r="D92" s="1254"/>
      <c r="E92" s="1254"/>
      <c r="F92" s="1254"/>
      <c r="G92" s="1255"/>
    </row>
    <row r="93" spans="1:7" x14ac:dyDescent="0.5">
      <c r="A93" s="1256"/>
      <c r="B93" s="1257"/>
      <c r="C93" s="1257"/>
      <c r="D93" s="1257"/>
      <c r="E93" s="1257"/>
      <c r="F93" s="1257"/>
      <c r="G93" s="1258"/>
    </row>
    <row r="94" spans="1:7" x14ac:dyDescent="0.5">
      <c r="A94" s="1256"/>
      <c r="B94" s="1257"/>
      <c r="C94" s="1257"/>
      <c r="D94" s="1257"/>
      <c r="E94" s="1257"/>
      <c r="F94" s="1257"/>
      <c r="G94" s="1258"/>
    </row>
    <row r="95" spans="1:7" x14ac:dyDescent="0.5">
      <c r="A95" s="1256"/>
      <c r="B95" s="1257"/>
      <c r="C95" s="1257"/>
      <c r="D95" s="1257"/>
      <c r="E95" s="1257"/>
      <c r="F95" s="1257"/>
      <c r="G95" s="1258"/>
    </row>
    <row r="96" spans="1:7" x14ac:dyDescent="0.5">
      <c r="A96" s="1256"/>
      <c r="B96" s="1257"/>
      <c r="C96" s="1257"/>
      <c r="D96" s="1257"/>
      <c r="E96" s="1257"/>
      <c r="F96" s="1257"/>
      <c r="G96" s="1258"/>
    </row>
    <row r="97" spans="1:7" x14ac:dyDescent="0.5">
      <c r="A97" s="1256"/>
      <c r="B97" s="1257"/>
      <c r="C97" s="1257"/>
      <c r="D97" s="1257"/>
      <c r="E97" s="1257"/>
      <c r="F97" s="1257"/>
      <c r="G97" s="1258"/>
    </row>
    <row r="98" spans="1:7" x14ac:dyDescent="0.5">
      <c r="A98" s="1256"/>
      <c r="B98" s="1257"/>
      <c r="C98" s="1257"/>
      <c r="D98" s="1257"/>
      <c r="E98" s="1257"/>
      <c r="F98" s="1257"/>
      <c r="G98" s="1258"/>
    </row>
    <row r="99" spans="1:7" x14ac:dyDescent="0.5">
      <c r="A99" s="1256"/>
      <c r="B99" s="1257"/>
      <c r="C99" s="1257"/>
      <c r="D99" s="1257"/>
      <c r="E99" s="1257"/>
      <c r="F99" s="1257"/>
      <c r="G99" s="1258"/>
    </row>
    <row r="100" spans="1:7" x14ac:dyDescent="0.5">
      <c r="A100" s="1256"/>
      <c r="B100" s="1257"/>
      <c r="C100" s="1257"/>
      <c r="D100" s="1257"/>
      <c r="E100" s="1257"/>
      <c r="F100" s="1257"/>
      <c r="G100" s="1258"/>
    </row>
    <row r="101" spans="1:7" x14ac:dyDescent="0.5">
      <c r="A101" s="1256"/>
      <c r="B101" s="1257"/>
      <c r="C101" s="1257"/>
      <c r="D101" s="1257"/>
      <c r="E101" s="1257"/>
      <c r="F101" s="1257"/>
      <c r="G101" s="1258"/>
    </row>
    <row r="102" spans="1:7" x14ac:dyDescent="0.5">
      <c r="A102" s="1256"/>
      <c r="B102" s="1257"/>
      <c r="C102" s="1257"/>
      <c r="D102" s="1257"/>
      <c r="E102" s="1257"/>
      <c r="F102" s="1257"/>
      <c r="G102" s="1258"/>
    </row>
    <row r="103" spans="1:7" x14ac:dyDescent="0.5">
      <c r="A103" s="1256"/>
      <c r="B103" s="1257"/>
      <c r="C103" s="1257"/>
      <c r="D103" s="1257"/>
      <c r="E103" s="1257"/>
      <c r="F103" s="1257"/>
      <c r="G103" s="1258"/>
    </row>
    <row r="104" spans="1:7" x14ac:dyDescent="0.5">
      <c r="A104" s="1256"/>
      <c r="B104" s="1257"/>
      <c r="C104" s="1257"/>
      <c r="D104" s="1257"/>
      <c r="E104" s="1257"/>
      <c r="F104" s="1257"/>
      <c r="G104" s="1258"/>
    </row>
    <row r="105" spans="1:7" x14ac:dyDescent="0.5">
      <c r="A105" s="1256"/>
      <c r="B105" s="1257"/>
      <c r="C105" s="1257"/>
      <c r="D105" s="1257"/>
      <c r="E105" s="1257"/>
      <c r="F105" s="1257"/>
      <c r="G105" s="1258"/>
    </row>
    <row r="106" spans="1:7" x14ac:dyDescent="0.5">
      <c r="A106" s="1256"/>
      <c r="B106" s="1257"/>
      <c r="C106" s="1257"/>
      <c r="D106" s="1257"/>
      <c r="E106" s="1257"/>
      <c r="F106" s="1257"/>
      <c r="G106" s="1258"/>
    </row>
    <row r="107" spans="1:7" x14ac:dyDescent="0.5">
      <c r="A107" s="1256"/>
      <c r="B107" s="1257"/>
      <c r="C107" s="1257"/>
      <c r="D107" s="1257"/>
      <c r="E107" s="1257"/>
      <c r="F107" s="1257"/>
      <c r="G107" s="1258"/>
    </row>
    <row r="108" spans="1:7" x14ac:dyDescent="0.5">
      <c r="A108" s="1256"/>
      <c r="B108" s="1257"/>
      <c r="C108" s="1257"/>
      <c r="D108" s="1257"/>
      <c r="E108" s="1257"/>
      <c r="F108" s="1257"/>
      <c r="G108" s="1258"/>
    </row>
    <row r="109" spans="1:7" x14ac:dyDescent="0.5">
      <c r="A109" s="1256"/>
      <c r="B109" s="1257"/>
      <c r="C109" s="1257"/>
      <c r="D109" s="1257"/>
      <c r="E109" s="1257"/>
      <c r="F109" s="1257"/>
      <c r="G109" s="1258"/>
    </row>
    <row r="110" spans="1:7" x14ac:dyDescent="0.5">
      <c r="A110" s="1256"/>
      <c r="B110" s="1257"/>
      <c r="C110" s="1257"/>
      <c r="D110" s="1257"/>
      <c r="E110" s="1257"/>
      <c r="F110" s="1257"/>
      <c r="G110" s="1258"/>
    </row>
    <row r="111" spans="1:7" x14ac:dyDescent="0.5">
      <c r="A111" s="1256"/>
      <c r="B111" s="1257"/>
      <c r="C111" s="1257"/>
      <c r="D111" s="1257"/>
      <c r="E111" s="1257"/>
      <c r="F111" s="1257"/>
      <c r="G111" s="1258"/>
    </row>
    <row r="112" spans="1:7" x14ac:dyDescent="0.5">
      <c r="A112" s="1259"/>
      <c r="B112" s="1260"/>
      <c r="C112" s="1260"/>
      <c r="D112" s="1260"/>
      <c r="E112" s="1260"/>
      <c r="F112" s="1260"/>
      <c r="G112" s="1261"/>
    </row>
    <row r="114" spans="1:7" x14ac:dyDescent="0.5">
      <c r="A114" s="1242" t="s">
        <v>367</v>
      </c>
      <c r="B114" s="1243"/>
      <c r="C114" s="1243"/>
      <c r="D114" s="1243"/>
      <c r="E114" s="1243"/>
      <c r="F114" s="1243"/>
      <c r="G114" s="1244"/>
    </row>
    <row r="116" spans="1:7" x14ac:dyDescent="0.5">
      <c r="A116" s="1267" t="s">
        <v>491</v>
      </c>
      <c r="B116" s="1268"/>
      <c r="C116" s="1268"/>
      <c r="D116" s="1268"/>
      <c r="E116" s="1268"/>
      <c r="F116" s="1268"/>
      <c r="G116" s="1269"/>
    </row>
    <row r="117" spans="1:7" x14ac:dyDescent="0.5">
      <c r="A117" s="1270"/>
      <c r="B117" s="1271"/>
      <c r="C117" s="1271"/>
      <c r="D117" s="1271"/>
      <c r="E117" s="1271"/>
      <c r="F117" s="1271"/>
      <c r="G117" s="1272"/>
    </row>
    <row r="118" spans="1:7" x14ac:dyDescent="0.5">
      <c r="A118" s="1270"/>
      <c r="B118" s="1271"/>
      <c r="C118" s="1271"/>
      <c r="D118" s="1271"/>
      <c r="E118" s="1271"/>
      <c r="F118" s="1271"/>
      <c r="G118" s="1272"/>
    </row>
    <row r="119" spans="1:7" x14ac:dyDescent="0.5">
      <c r="A119" s="1270"/>
      <c r="B119" s="1271"/>
      <c r="C119" s="1271"/>
      <c r="D119" s="1271"/>
      <c r="E119" s="1271"/>
      <c r="F119" s="1271"/>
      <c r="G119" s="1272"/>
    </row>
    <row r="120" spans="1:7" ht="15.75" customHeight="1" x14ac:dyDescent="0.5">
      <c r="A120" s="1270"/>
      <c r="B120" s="1271"/>
      <c r="C120" s="1271"/>
      <c r="D120" s="1271"/>
      <c r="E120" s="1271"/>
      <c r="F120" s="1271"/>
      <c r="G120" s="1272"/>
    </row>
    <row r="121" spans="1:7" x14ac:dyDescent="0.5">
      <c r="A121" s="1270"/>
      <c r="B121" s="1271"/>
      <c r="C121" s="1271"/>
      <c r="D121" s="1271"/>
      <c r="E121" s="1271"/>
      <c r="F121" s="1271"/>
      <c r="G121" s="1272"/>
    </row>
    <row r="122" spans="1:7" x14ac:dyDescent="0.5">
      <c r="A122" s="1270"/>
      <c r="B122" s="1271"/>
      <c r="C122" s="1271"/>
      <c r="D122" s="1271"/>
      <c r="E122" s="1271"/>
      <c r="F122" s="1271"/>
      <c r="G122" s="1272"/>
    </row>
    <row r="123" spans="1:7" x14ac:dyDescent="0.5">
      <c r="A123" s="1270"/>
      <c r="B123" s="1271"/>
      <c r="C123" s="1271"/>
      <c r="D123" s="1271"/>
      <c r="E123" s="1271"/>
      <c r="F123" s="1271"/>
      <c r="G123" s="1272"/>
    </row>
    <row r="124" spans="1:7" x14ac:dyDescent="0.5">
      <c r="A124" s="1270"/>
      <c r="B124" s="1271"/>
      <c r="C124" s="1271"/>
      <c r="D124" s="1271"/>
      <c r="E124" s="1271"/>
      <c r="F124" s="1271"/>
      <c r="G124" s="1272"/>
    </row>
    <row r="125" spans="1:7" x14ac:dyDescent="0.5">
      <c r="A125" s="1270"/>
      <c r="B125" s="1271"/>
      <c r="C125" s="1271"/>
      <c r="D125" s="1271"/>
      <c r="E125" s="1271"/>
      <c r="F125" s="1271"/>
      <c r="G125" s="1272"/>
    </row>
    <row r="126" spans="1:7" x14ac:dyDescent="0.5">
      <c r="A126" s="1270"/>
      <c r="B126" s="1271"/>
      <c r="C126" s="1271"/>
      <c r="D126" s="1271"/>
      <c r="E126" s="1271"/>
      <c r="F126" s="1271"/>
      <c r="G126" s="1272"/>
    </row>
    <row r="127" spans="1:7" x14ac:dyDescent="0.5">
      <c r="A127" s="1270"/>
      <c r="B127" s="1271"/>
      <c r="C127" s="1271"/>
      <c r="D127" s="1271"/>
      <c r="E127" s="1271"/>
      <c r="F127" s="1271"/>
      <c r="G127" s="1272"/>
    </row>
    <row r="128" spans="1:7" x14ac:dyDescent="0.5">
      <c r="A128" s="1270"/>
      <c r="B128" s="1271"/>
      <c r="C128" s="1271"/>
      <c r="D128" s="1271"/>
      <c r="E128" s="1271"/>
      <c r="F128" s="1271"/>
      <c r="G128" s="1272"/>
    </row>
    <row r="129" spans="1:7" x14ac:dyDescent="0.5">
      <c r="A129" s="1270"/>
      <c r="B129" s="1271"/>
      <c r="C129" s="1271"/>
      <c r="D129" s="1271"/>
      <c r="E129" s="1271"/>
      <c r="F129" s="1271"/>
      <c r="G129" s="1272"/>
    </row>
    <row r="130" spans="1:7" x14ac:dyDescent="0.5">
      <c r="A130" s="1270"/>
      <c r="B130" s="1271"/>
      <c r="C130" s="1271"/>
      <c r="D130" s="1271"/>
      <c r="E130" s="1271"/>
      <c r="F130" s="1271"/>
      <c r="G130" s="1272"/>
    </row>
    <row r="131" spans="1:7" x14ac:dyDescent="0.5">
      <c r="A131" s="1270"/>
      <c r="B131" s="1271"/>
      <c r="C131" s="1271"/>
      <c r="D131" s="1271"/>
      <c r="E131" s="1271"/>
      <c r="F131" s="1271"/>
      <c r="G131" s="1272"/>
    </row>
    <row r="132" spans="1:7" x14ac:dyDescent="0.5">
      <c r="A132" s="1270"/>
      <c r="B132" s="1271"/>
      <c r="C132" s="1271"/>
      <c r="D132" s="1271"/>
      <c r="E132" s="1271"/>
      <c r="F132" s="1271"/>
      <c r="G132" s="1272"/>
    </row>
    <row r="133" spans="1:7" x14ac:dyDescent="0.5">
      <c r="A133" s="1270"/>
      <c r="B133" s="1271"/>
      <c r="C133" s="1271"/>
      <c r="D133" s="1271"/>
      <c r="E133" s="1271"/>
      <c r="F133" s="1271"/>
      <c r="G133" s="1272"/>
    </row>
    <row r="134" spans="1:7" x14ac:dyDescent="0.5">
      <c r="A134" s="1273"/>
      <c r="B134" s="1274"/>
      <c r="C134" s="1274"/>
      <c r="D134" s="1274"/>
      <c r="E134" s="1274"/>
      <c r="F134" s="1274"/>
      <c r="G134" s="1275"/>
    </row>
    <row r="135" spans="1:7" ht="15.75" customHeight="1" x14ac:dyDescent="0.5">
      <c r="A135" s="1253" t="s">
        <v>546</v>
      </c>
      <c r="B135" s="1254"/>
      <c r="C135" s="1254"/>
      <c r="D135" s="1254"/>
      <c r="E135" s="1254"/>
      <c r="F135" s="1254"/>
      <c r="G135" s="1255"/>
    </row>
    <row r="136" spans="1:7" x14ac:dyDescent="0.5">
      <c r="A136" s="1256"/>
      <c r="B136" s="1257"/>
      <c r="C136" s="1257"/>
      <c r="D136" s="1257"/>
      <c r="E136" s="1257"/>
      <c r="F136" s="1257"/>
      <c r="G136" s="1258"/>
    </row>
    <row r="137" spans="1:7" x14ac:dyDescent="0.5">
      <c r="A137" s="1256"/>
      <c r="B137" s="1257"/>
      <c r="C137" s="1257"/>
      <c r="D137" s="1257"/>
      <c r="E137" s="1257"/>
      <c r="F137" s="1257"/>
      <c r="G137" s="1258"/>
    </row>
    <row r="138" spans="1:7" x14ac:dyDescent="0.5">
      <c r="A138" s="1256"/>
      <c r="B138" s="1257"/>
      <c r="C138" s="1257"/>
      <c r="D138" s="1257"/>
      <c r="E138" s="1257"/>
      <c r="F138" s="1257"/>
      <c r="G138" s="1258"/>
    </row>
    <row r="139" spans="1:7" x14ac:dyDescent="0.5">
      <c r="A139" s="1256"/>
      <c r="B139" s="1257"/>
      <c r="C139" s="1257"/>
      <c r="D139" s="1257"/>
      <c r="E139" s="1257"/>
      <c r="F139" s="1257"/>
      <c r="G139" s="1258"/>
    </row>
    <row r="140" spans="1:7" x14ac:dyDescent="0.5">
      <c r="A140" s="1256"/>
      <c r="B140" s="1257"/>
      <c r="C140" s="1257"/>
      <c r="D140" s="1257"/>
      <c r="E140" s="1257"/>
      <c r="F140" s="1257"/>
      <c r="G140" s="1258"/>
    </row>
    <row r="141" spans="1:7" x14ac:dyDescent="0.5">
      <c r="A141" s="1256"/>
      <c r="B141" s="1257"/>
      <c r="C141" s="1257"/>
      <c r="D141" s="1257"/>
      <c r="E141" s="1257"/>
      <c r="F141" s="1257"/>
      <c r="G141" s="1258"/>
    </row>
    <row r="142" spans="1:7" x14ac:dyDescent="0.5">
      <c r="A142" s="1256"/>
      <c r="B142" s="1257"/>
      <c r="C142" s="1257"/>
      <c r="D142" s="1257"/>
      <c r="E142" s="1257"/>
      <c r="F142" s="1257"/>
      <c r="G142" s="1258"/>
    </row>
    <row r="143" spans="1:7" x14ac:dyDescent="0.5">
      <c r="A143" s="1256"/>
      <c r="B143" s="1257"/>
      <c r="C143" s="1257"/>
      <c r="D143" s="1257"/>
      <c r="E143" s="1257"/>
      <c r="F143" s="1257"/>
      <c r="G143" s="1258"/>
    </row>
    <row r="144" spans="1:7" x14ac:dyDescent="0.5">
      <c r="A144" s="1256"/>
      <c r="B144" s="1257"/>
      <c r="C144" s="1257"/>
      <c r="D144" s="1257"/>
      <c r="E144" s="1257"/>
      <c r="F144" s="1257"/>
      <c r="G144" s="1258"/>
    </row>
    <row r="145" spans="1:7" x14ac:dyDescent="0.5">
      <c r="A145" s="1256"/>
      <c r="B145" s="1257"/>
      <c r="C145" s="1257"/>
      <c r="D145" s="1257"/>
      <c r="E145" s="1257"/>
      <c r="F145" s="1257"/>
      <c r="G145" s="1258"/>
    </row>
    <row r="146" spans="1:7" x14ac:dyDescent="0.5">
      <c r="A146" s="1256"/>
      <c r="B146" s="1257"/>
      <c r="C146" s="1257"/>
      <c r="D146" s="1257"/>
      <c r="E146" s="1257"/>
      <c r="F146" s="1257"/>
      <c r="G146" s="1258"/>
    </row>
    <row r="147" spans="1:7" x14ac:dyDescent="0.5">
      <c r="A147" s="1256"/>
      <c r="B147" s="1257"/>
      <c r="C147" s="1257"/>
      <c r="D147" s="1257"/>
      <c r="E147" s="1257"/>
      <c r="F147" s="1257"/>
      <c r="G147" s="1258"/>
    </row>
    <row r="148" spans="1:7" x14ac:dyDescent="0.5">
      <c r="A148" s="1256"/>
      <c r="B148" s="1257"/>
      <c r="C148" s="1257"/>
      <c r="D148" s="1257"/>
      <c r="E148" s="1257"/>
      <c r="F148" s="1257"/>
      <c r="G148" s="1258"/>
    </row>
    <row r="149" spans="1:7" x14ac:dyDescent="0.5">
      <c r="A149" s="1256"/>
      <c r="B149" s="1257"/>
      <c r="C149" s="1257"/>
      <c r="D149" s="1257"/>
      <c r="E149" s="1257"/>
      <c r="F149" s="1257"/>
      <c r="G149" s="1258"/>
    </row>
    <row r="150" spans="1:7" x14ac:dyDescent="0.5">
      <c r="A150" s="1256"/>
      <c r="B150" s="1257"/>
      <c r="C150" s="1257"/>
      <c r="D150" s="1257"/>
      <c r="E150" s="1257"/>
      <c r="F150" s="1257"/>
      <c r="G150" s="1258"/>
    </row>
    <row r="151" spans="1:7" x14ac:dyDescent="0.5">
      <c r="A151" s="1256"/>
      <c r="B151" s="1257"/>
      <c r="C151" s="1257"/>
      <c r="D151" s="1257"/>
      <c r="E151" s="1257"/>
      <c r="F151" s="1257"/>
      <c r="G151" s="1258"/>
    </row>
    <row r="152" spans="1:7" x14ac:dyDescent="0.5">
      <c r="A152" s="1256"/>
      <c r="B152" s="1257"/>
      <c r="C152" s="1257"/>
      <c r="D152" s="1257"/>
      <c r="E152" s="1257"/>
      <c r="F152" s="1257"/>
      <c r="G152" s="1258"/>
    </row>
    <row r="153" spans="1:7" x14ac:dyDescent="0.5">
      <c r="A153" s="1256"/>
      <c r="B153" s="1257"/>
      <c r="C153" s="1257"/>
      <c r="D153" s="1257"/>
      <c r="E153" s="1257"/>
      <c r="F153" s="1257"/>
      <c r="G153" s="1258"/>
    </row>
    <row r="154" spans="1:7" x14ac:dyDescent="0.5">
      <c r="A154" s="1256"/>
      <c r="B154" s="1257"/>
      <c r="C154" s="1257"/>
      <c r="D154" s="1257"/>
      <c r="E154" s="1257"/>
      <c r="F154" s="1257"/>
      <c r="G154" s="1258"/>
    </row>
    <row r="155" spans="1:7" x14ac:dyDescent="0.5">
      <c r="A155" s="1256"/>
      <c r="B155" s="1257"/>
      <c r="C155" s="1257"/>
      <c r="D155" s="1257"/>
      <c r="E155" s="1257"/>
      <c r="F155" s="1257"/>
      <c r="G155" s="1258"/>
    </row>
    <row r="156" spans="1:7" x14ac:dyDescent="0.5">
      <c r="A156" s="1256"/>
      <c r="B156" s="1257"/>
      <c r="C156" s="1257"/>
      <c r="D156" s="1257"/>
      <c r="E156" s="1257"/>
      <c r="F156" s="1257"/>
      <c r="G156" s="1258"/>
    </row>
    <row r="157" spans="1:7" x14ac:dyDescent="0.5">
      <c r="A157" s="1256"/>
      <c r="B157" s="1257"/>
      <c r="C157" s="1257"/>
      <c r="D157" s="1257"/>
      <c r="E157" s="1257"/>
      <c r="F157" s="1257"/>
      <c r="G157" s="1258"/>
    </row>
    <row r="158" spans="1:7" x14ac:dyDescent="0.5">
      <c r="A158" s="1259"/>
      <c r="B158" s="1260"/>
      <c r="C158" s="1260"/>
      <c r="D158" s="1260"/>
      <c r="E158" s="1260"/>
      <c r="F158" s="1260"/>
      <c r="G158" s="1261"/>
    </row>
    <row r="160" spans="1:7" x14ac:dyDescent="0.5">
      <c r="A160" s="1236" t="s">
        <v>483</v>
      </c>
      <c r="B160" s="1237"/>
      <c r="C160" s="1237"/>
      <c r="D160" s="1237"/>
      <c r="E160" s="1237"/>
      <c r="F160" s="1237"/>
      <c r="G160" s="1238"/>
    </row>
    <row r="162" spans="1:7" x14ac:dyDescent="0.5">
      <c r="A162" s="1253" t="s">
        <v>550</v>
      </c>
      <c r="B162" s="1254"/>
      <c r="C162" s="1254"/>
      <c r="D162" s="1254"/>
      <c r="E162" s="1254"/>
      <c r="F162" s="1254"/>
      <c r="G162" s="1255"/>
    </row>
    <row r="163" spans="1:7" x14ac:dyDescent="0.5">
      <c r="A163" s="1256"/>
      <c r="B163" s="1257"/>
      <c r="C163" s="1257"/>
      <c r="D163" s="1257"/>
      <c r="E163" s="1257"/>
      <c r="F163" s="1257"/>
      <c r="G163" s="1258"/>
    </row>
    <row r="164" spans="1:7" x14ac:dyDescent="0.5">
      <c r="A164" s="1259"/>
      <c r="B164" s="1260"/>
      <c r="C164" s="1260"/>
      <c r="D164" s="1260"/>
      <c r="E164" s="1260"/>
      <c r="F164" s="1260"/>
      <c r="G164" s="1261"/>
    </row>
    <row r="166" spans="1:7" ht="15.75" customHeight="1" x14ac:dyDescent="0.5">
      <c r="A166" s="1253" t="s">
        <v>551</v>
      </c>
      <c r="B166" s="1254"/>
      <c r="C166" s="1254"/>
      <c r="D166" s="1254"/>
      <c r="E166" s="1254"/>
      <c r="F166" s="1254"/>
      <c r="G166" s="1255"/>
    </row>
    <row r="167" spans="1:7" x14ac:dyDescent="0.5">
      <c r="A167" s="1256"/>
      <c r="B167" s="1257"/>
      <c r="C167" s="1257"/>
      <c r="D167" s="1257"/>
      <c r="E167" s="1257"/>
      <c r="F167" s="1257"/>
      <c r="G167" s="1258"/>
    </row>
    <row r="168" spans="1:7" x14ac:dyDescent="0.5">
      <c r="A168" s="1256"/>
      <c r="B168" s="1257"/>
      <c r="C168" s="1257"/>
      <c r="D168" s="1257"/>
      <c r="E168" s="1257"/>
      <c r="F168" s="1257"/>
      <c r="G168" s="1258"/>
    </row>
    <row r="169" spans="1:7" x14ac:dyDescent="0.5">
      <c r="A169" s="1256"/>
      <c r="B169" s="1257"/>
      <c r="C169" s="1257"/>
      <c r="D169" s="1257"/>
      <c r="E169" s="1257"/>
      <c r="F169" s="1257"/>
      <c r="G169" s="1258"/>
    </row>
    <row r="170" spans="1:7" x14ac:dyDescent="0.5">
      <c r="A170" s="1256"/>
      <c r="B170" s="1257"/>
      <c r="C170" s="1257"/>
      <c r="D170" s="1257"/>
      <c r="E170" s="1257"/>
      <c r="F170" s="1257"/>
      <c r="G170" s="1258"/>
    </row>
    <row r="171" spans="1:7" x14ac:dyDescent="0.5">
      <c r="A171" s="1256"/>
      <c r="B171" s="1257"/>
      <c r="C171" s="1257"/>
      <c r="D171" s="1257"/>
      <c r="E171" s="1257"/>
      <c r="F171" s="1257"/>
      <c r="G171" s="1258"/>
    </row>
    <row r="172" spans="1:7" x14ac:dyDescent="0.5">
      <c r="A172" s="1256"/>
      <c r="B172" s="1257"/>
      <c r="C172" s="1257"/>
      <c r="D172" s="1257"/>
      <c r="E172" s="1257"/>
      <c r="F172" s="1257"/>
      <c r="G172" s="1258"/>
    </row>
    <row r="173" spans="1:7" x14ac:dyDescent="0.5">
      <c r="A173" s="1256"/>
      <c r="B173" s="1257"/>
      <c r="C173" s="1257"/>
      <c r="D173" s="1257"/>
      <c r="E173" s="1257"/>
      <c r="F173" s="1257"/>
      <c r="G173" s="1258"/>
    </row>
    <row r="174" spans="1:7" x14ac:dyDescent="0.5">
      <c r="A174" s="1256"/>
      <c r="B174" s="1257"/>
      <c r="C174" s="1257"/>
      <c r="D174" s="1257"/>
      <c r="E174" s="1257"/>
      <c r="F174" s="1257"/>
      <c r="G174" s="1258"/>
    </row>
    <row r="175" spans="1:7" x14ac:dyDescent="0.5">
      <c r="A175" s="1256"/>
      <c r="B175" s="1257"/>
      <c r="C175" s="1257"/>
      <c r="D175" s="1257"/>
      <c r="E175" s="1257"/>
      <c r="F175" s="1257"/>
      <c r="G175" s="1258"/>
    </row>
    <row r="176" spans="1:7" x14ac:dyDescent="0.5">
      <c r="A176" s="1256"/>
      <c r="B176" s="1257"/>
      <c r="C176" s="1257"/>
      <c r="D176" s="1257"/>
      <c r="E176" s="1257"/>
      <c r="F176" s="1257"/>
      <c r="G176" s="1258"/>
    </row>
    <row r="177" spans="1:7" x14ac:dyDescent="0.5">
      <c r="A177" s="1256"/>
      <c r="B177" s="1257"/>
      <c r="C177" s="1257"/>
      <c r="D177" s="1257"/>
      <c r="E177" s="1257"/>
      <c r="F177" s="1257"/>
      <c r="G177" s="1258"/>
    </row>
    <row r="178" spans="1:7" x14ac:dyDescent="0.5">
      <c r="A178" s="1256"/>
      <c r="B178" s="1257"/>
      <c r="C178" s="1257"/>
      <c r="D178" s="1257"/>
      <c r="E178" s="1257"/>
      <c r="F178" s="1257"/>
      <c r="G178" s="1258"/>
    </row>
    <row r="179" spans="1:7" x14ac:dyDescent="0.5">
      <c r="A179" s="1256"/>
      <c r="B179" s="1257"/>
      <c r="C179" s="1257"/>
      <c r="D179" s="1257"/>
      <c r="E179" s="1257"/>
      <c r="F179" s="1257"/>
      <c r="G179" s="1258"/>
    </row>
    <row r="180" spans="1:7" x14ac:dyDescent="0.5">
      <c r="A180" s="1256"/>
      <c r="B180" s="1257"/>
      <c r="C180" s="1257"/>
      <c r="D180" s="1257"/>
      <c r="E180" s="1257"/>
      <c r="F180" s="1257"/>
      <c r="G180" s="1258"/>
    </row>
    <row r="181" spans="1:7" x14ac:dyDescent="0.5">
      <c r="A181" s="1256"/>
      <c r="B181" s="1257"/>
      <c r="C181" s="1257"/>
      <c r="D181" s="1257"/>
      <c r="E181" s="1257"/>
      <c r="F181" s="1257"/>
      <c r="G181" s="1258"/>
    </row>
    <row r="182" spans="1:7" x14ac:dyDescent="0.5">
      <c r="A182" s="1259"/>
      <c r="B182" s="1260"/>
      <c r="C182" s="1260"/>
      <c r="D182" s="1260"/>
      <c r="E182" s="1260"/>
      <c r="F182" s="1260"/>
      <c r="G182" s="1261"/>
    </row>
    <row r="184" spans="1:7" ht="15.75" customHeight="1" x14ac:dyDescent="0.5">
      <c r="A184" s="1253" t="s">
        <v>665</v>
      </c>
      <c r="B184" s="1254"/>
      <c r="C184" s="1254"/>
      <c r="D184" s="1254"/>
      <c r="E184" s="1254"/>
      <c r="F184" s="1254"/>
      <c r="G184" s="1255"/>
    </row>
    <row r="185" spans="1:7" x14ac:dyDescent="0.5">
      <c r="A185" s="1256"/>
      <c r="B185" s="1257"/>
      <c r="C185" s="1257"/>
      <c r="D185" s="1257"/>
      <c r="E185" s="1257"/>
      <c r="F185" s="1257"/>
      <c r="G185" s="1258"/>
    </row>
    <row r="186" spans="1:7" x14ac:dyDescent="0.5">
      <c r="A186" s="1256"/>
      <c r="B186" s="1257"/>
      <c r="C186" s="1257"/>
      <c r="D186" s="1257"/>
      <c r="E186" s="1257"/>
      <c r="F186" s="1257"/>
      <c r="G186" s="1258"/>
    </row>
    <row r="187" spans="1:7" x14ac:dyDescent="0.5">
      <c r="A187" s="1256"/>
      <c r="B187" s="1257"/>
      <c r="C187" s="1257"/>
      <c r="D187" s="1257"/>
      <c r="E187" s="1257"/>
      <c r="F187" s="1257"/>
      <c r="G187" s="1258"/>
    </row>
    <row r="188" spans="1:7" x14ac:dyDescent="0.5">
      <c r="A188" s="1256"/>
      <c r="B188" s="1257"/>
      <c r="C188" s="1257"/>
      <c r="D188" s="1257"/>
      <c r="E188" s="1257"/>
      <c r="F188" s="1257"/>
      <c r="G188" s="1258"/>
    </row>
    <row r="189" spans="1:7" x14ac:dyDescent="0.5">
      <c r="A189" s="1256"/>
      <c r="B189" s="1257"/>
      <c r="C189" s="1257"/>
      <c r="D189" s="1257"/>
      <c r="E189" s="1257"/>
      <c r="F189" s="1257"/>
      <c r="G189" s="1258"/>
    </row>
    <row r="190" spans="1:7" x14ac:dyDescent="0.5">
      <c r="A190" s="1256"/>
      <c r="B190" s="1257"/>
      <c r="C190" s="1257"/>
      <c r="D190" s="1257"/>
      <c r="E190" s="1257"/>
      <c r="F190" s="1257"/>
      <c r="G190" s="1258"/>
    </row>
    <row r="191" spans="1:7" x14ac:dyDescent="0.5">
      <c r="A191" s="1256"/>
      <c r="B191" s="1257"/>
      <c r="C191" s="1257"/>
      <c r="D191" s="1257"/>
      <c r="E191" s="1257"/>
      <c r="F191" s="1257"/>
      <c r="G191" s="1258"/>
    </row>
    <row r="192" spans="1:7" x14ac:dyDescent="0.5">
      <c r="A192" s="1256"/>
      <c r="B192" s="1257"/>
      <c r="C192" s="1257"/>
      <c r="D192" s="1257"/>
      <c r="E192" s="1257"/>
      <c r="F192" s="1257"/>
      <c r="G192" s="1258"/>
    </row>
    <row r="193" spans="1:7" x14ac:dyDescent="0.5">
      <c r="A193" s="1259"/>
      <c r="B193" s="1260"/>
      <c r="C193" s="1260"/>
      <c r="D193" s="1260"/>
      <c r="E193" s="1260"/>
      <c r="F193" s="1260"/>
      <c r="G193" s="1261"/>
    </row>
    <row r="195" spans="1:7" ht="15.75" customHeight="1" x14ac:dyDescent="0.5">
      <c r="A195" s="1253" t="s">
        <v>666</v>
      </c>
      <c r="B195" s="1254"/>
      <c r="C195" s="1254"/>
      <c r="D195" s="1254"/>
      <c r="E195" s="1254"/>
      <c r="F195" s="1254"/>
      <c r="G195" s="1255"/>
    </row>
    <row r="196" spans="1:7" x14ac:dyDescent="0.5">
      <c r="A196" s="1256"/>
      <c r="B196" s="1257"/>
      <c r="C196" s="1257"/>
      <c r="D196" s="1257"/>
      <c r="E196" s="1257"/>
      <c r="F196" s="1257"/>
      <c r="G196" s="1258"/>
    </row>
    <row r="197" spans="1:7" x14ac:dyDescent="0.5">
      <c r="A197" s="1256"/>
      <c r="B197" s="1257"/>
      <c r="C197" s="1257"/>
      <c r="D197" s="1257"/>
      <c r="E197" s="1257"/>
      <c r="F197" s="1257"/>
      <c r="G197" s="1258"/>
    </row>
    <row r="198" spans="1:7" x14ac:dyDescent="0.5">
      <c r="A198" s="1256"/>
      <c r="B198" s="1257"/>
      <c r="C198" s="1257"/>
      <c r="D198" s="1257"/>
      <c r="E198" s="1257"/>
      <c r="F198" s="1257"/>
      <c r="G198" s="1258"/>
    </row>
    <row r="199" spans="1:7" x14ac:dyDescent="0.5">
      <c r="A199" s="1256"/>
      <c r="B199" s="1257"/>
      <c r="C199" s="1257"/>
      <c r="D199" s="1257"/>
      <c r="E199" s="1257"/>
      <c r="F199" s="1257"/>
      <c r="G199" s="1258"/>
    </row>
    <row r="200" spans="1:7" x14ac:dyDescent="0.5">
      <c r="A200" s="1256"/>
      <c r="B200" s="1257"/>
      <c r="C200" s="1257"/>
      <c r="D200" s="1257"/>
      <c r="E200" s="1257"/>
      <c r="F200" s="1257"/>
      <c r="G200" s="1258"/>
    </row>
    <row r="201" spans="1:7" x14ac:dyDescent="0.5">
      <c r="A201" s="1256"/>
      <c r="B201" s="1257"/>
      <c r="C201" s="1257"/>
      <c r="D201" s="1257"/>
      <c r="E201" s="1257"/>
      <c r="F201" s="1257"/>
      <c r="G201" s="1258"/>
    </row>
    <row r="202" spans="1:7" x14ac:dyDescent="0.5">
      <c r="A202" s="1256"/>
      <c r="B202" s="1257"/>
      <c r="C202" s="1257"/>
      <c r="D202" s="1257"/>
      <c r="E202" s="1257"/>
      <c r="F202" s="1257"/>
      <c r="G202" s="1258"/>
    </row>
    <row r="203" spans="1:7" x14ac:dyDescent="0.5">
      <c r="A203" s="1256"/>
      <c r="B203" s="1257"/>
      <c r="C203" s="1257"/>
      <c r="D203" s="1257"/>
      <c r="E203" s="1257"/>
      <c r="F203" s="1257"/>
      <c r="G203" s="1258"/>
    </row>
    <row r="204" spans="1:7" x14ac:dyDescent="0.5">
      <c r="A204" s="1256"/>
      <c r="B204" s="1257"/>
      <c r="C204" s="1257"/>
      <c r="D204" s="1257"/>
      <c r="E204" s="1257"/>
      <c r="F204" s="1257"/>
      <c r="G204" s="1258"/>
    </row>
    <row r="205" spans="1:7" x14ac:dyDescent="0.5">
      <c r="A205" s="1256"/>
      <c r="B205" s="1257"/>
      <c r="C205" s="1257"/>
      <c r="D205" s="1257"/>
      <c r="E205" s="1257"/>
      <c r="F205" s="1257"/>
      <c r="G205" s="1258"/>
    </row>
    <row r="206" spans="1:7" x14ac:dyDescent="0.5">
      <c r="A206" s="1259"/>
      <c r="B206" s="1260"/>
      <c r="C206" s="1260"/>
      <c r="D206" s="1260"/>
      <c r="E206" s="1260"/>
      <c r="F206" s="1260"/>
      <c r="G206" s="1261"/>
    </row>
  </sheetData>
  <sheetProtection password="B984" sheet="1" selectLockedCells="1"/>
  <mergeCells count="45">
    <mergeCell ref="B24:F24"/>
    <mergeCell ref="F32:G32"/>
    <mergeCell ref="A195:G206"/>
    <mergeCell ref="A184:G193"/>
    <mergeCell ref="A135:G158"/>
    <mergeCell ref="B29:G29"/>
    <mergeCell ref="A162:G164"/>
    <mergeCell ref="A160:G160"/>
    <mergeCell ref="A166:G182"/>
    <mergeCell ref="A26:G26"/>
    <mergeCell ref="A116:G134"/>
    <mergeCell ref="A114:G114"/>
    <mergeCell ref="A92:G112"/>
    <mergeCell ref="A67:G89"/>
    <mergeCell ref="A36:G36"/>
    <mergeCell ref="A38:G65"/>
    <mergeCell ref="A21:G21"/>
    <mergeCell ref="B19:F19"/>
    <mergeCell ref="A13:G13"/>
    <mergeCell ref="B14:C14"/>
    <mergeCell ref="B15:C15"/>
    <mergeCell ref="B18:F18"/>
    <mergeCell ref="A17:G17"/>
    <mergeCell ref="B1:G4"/>
    <mergeCell ref="B5:C5"/>
    <mergeCell ref="C7:F7"/>
    <mergeCell ref="C9:F9"/>
    <mergeCell ref="C11:D11"/>
    <mergeCell ref="D5:G5"/>
    <mergeCell ref="N12:P12"/>
    <mergeCell ref="D14:G15"/>
    <mergeCell ref="H14:H15"/>
    <mergeCell ref="H9:H12"/>
    <mergeCell ref="B33:D33"/>
    <mergeCell ref="O29:R29"/>
    <mergeCell ref="O30:R30"/>
    <mergeCell ref="O31:R31"/>
    <mergeCell ref="O32:R32"/>
    <mergeCell ref="B32:C32"/>
    <mergeCell ref="A31:G31"/>
    <mergeCell ref="B27:G27"/>
    <mergeCell ref="B22:F22"/>
    <mergeCell ref="F11:G12"/>
    <mergeCell ref="H17:H29"/>
    <mergeCell ref="B23:F23"/>
  </mergeCells>
  <conditionalFormatting sqref="B15:C16 C28 B22 B20:C20">
    <cfRule type="colorScale" priority="9">
      <colorScale>
        <cfvo type="num" val="0"/>
        <cfvo type="percent" val="50"/>
        <cfvo type="num" val="100"/>
        <color rgb="FFF8696B"/>
        <color rgb="FFFFEB84"/>
        <color rgb="FF63BE7B"/>
      </colorScale>
    </cfRule>
  </conditionalFormatting>
  <conditionalFormatting sqref="G10 F11">
    <cfRule type="expression" dxfId="185" priority="6">
      <formula>$Q$16="OK!"</formula>
    </cfRule>
  </conditionalFormatting>
  <conditionalFormatting sqref="D14:G15">
    <cfRule type="expression" dxfId="184" priority="5">
      <formula>$Q$16="OK!"</formula>
    </cfRule>
  </conditionalFormatting>
  <conditionalFormatting sqref="A24 G18:G19">
    <cfRule type="expression" dxfId="183" priority="76">
      <formula>$O$9=0</formula>
    </cfRule>
  </conditionalFormatting>
  <conditionalFormatting sqref="B22:F22">
    <cfRule type="expression" dxfId="182" priority="4">
      <formula>_OK?&lt;&gt;"OK!"</formula>
    </cfRule>
  </conditionalFormatting>
  <conditionalFormatting sqref="A17:G17 B22:F22 B29:G29 H17:M29">
    <cfRule type="expression" dxfId="181" priority="3">
      <formula>_OK_KV?&lt;&gt;"OK_KV!"</formula>
    </cfRule>
  </conditionalFormatting>
  <conditionalFormatting sqref="A17:G19">
    <cfRule type="expression" dxfId="180" priority="2">
      <formula>_Verband=0</formula>
    </cfRule>
  </conditionalFormatting>
  <conditionalFormatting sqref="A26:G26">
    <cfRule type="expression" dxfId="179" priority="1">
      <formula>_OK?&lt;&gt;"OK!"</formula>
    </cfRule>
  </conditionalFormatting>
  <dataValidations count="2">
    <dataValidation type="textLength" operator="lessThan" allowBlank="1" showInputMessage="1" showErrorMessage="1" error="Maximal 40 Zeichen" sqref="C7:F7" xr:uid="{DAD0F8EE-CBF5-44E0-A421-985B2758798E}">
      <formula1>46</formula1>
    </dataValidation>
    <dataValidation type="textLength" operator="lessThan" allowBlank="1" showInputMessage="1" showErrorMessage="1" error="Eingabe zu lang!" sqref="B18:F19" xr:uid="{E5D846E8-9A18-459F-9C10-A36272D09E6F}">
      <formula1>46</formula1>
    </dataValidation>
  </dataValidations>
  <pageMargins left="0.7" right="0.7" top="0.78740157499999996" bottom="0.78740157499999996" header="0.3" footer="0.3"/>
  <pageSetup paperSize="9" orientation="portrait" r:id="rId1"/>
  <headerFooter>
    <oddFooter>&amp;L&amp;10K3-Stammdaten
Seite: &amp;P von &amp;N&amp;R&amp;10&amp;F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231E-752B-43AD-B178-293C17AAE9CC}">
  <sheetPr>
    <tabColor rgb="FF00B0F0"/>
  </sheetPr>
  <dimension ref="A1:P47"/>
  <sheetViews>
    <sheetView showGridLines="0"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0" t="s">
        <v>30</v>
      </c>
      <c r="C1" s="2180"/>
      <c r="D1" s="2180"/>
      <c r="E1" s="2180"/>
      <c r="F1" s="206" t="s">
        <v>294</v>
      </c>
      <c r="G1" s="2342" t="str">
        <f>Projekt!D10</f>
        <v xml:space="preserve">Musterbaustelle </v>
      </c>
      <c r="H1" s="2342"/>
      <c r="I1" s="2342"/>
      <c r="J1" s="2342"/>
      <c r="K1" s="2342"/>
      <c r="L1" s="2342"/>
      <c r="M1" s="2342"/>
      <c r="N1" s="2342"/>
      <c r="O1" s="2342"/>
      <c r="P1" s="2343"/>
    </row>
    <row r="2" spans="1:16" x14ac:dyDescent="0.4">
      <c r="A2" s="2326"/>
      <c r="B2" s="2264" t="s">
        <v>69</v>
      </c>
      <c r="C2" s="2265"/>
      <c r="D2" s="2265"/>
      <c r="E2" s="2265"/>
      <c r="F2" s="2328" t="str">
        <f>Projekt!D343</f>
        <v>Regie Qual. Helfer</v>
      </c>
      <c r="G2" s="2328"/>
      <c r="H2" s="2328"/>
      <c r="I2" s="2328"/>
      <c r="J2" s="2329"/>
      <c r="K2" s="2232" t="s">
        <v>32</v>
      </c>
      <c r="L2" s="2233"/>
      <c r="M2" s="2233"/>
      <c r="N2" s="2233"/>
      <c r="O2" s="2233"/>
      <c r="P2" s="2298"/>
    </row>
    <row r="3" spans="1:16" x14ac:dyDescent="0.4">
      <c r="A3" s="2327"/>
      <c r="B3" s="2266"/>
      <c r="C3" s="2267"/>
      <c r="D3" s="2267"/>
      <c r="E3" s="2267"/>
      <c r="F3" s="2330"/>
      <c r="G3" s="2330"/>
      <c r="H3" s="2330"/>
      <c r="I3" s="2330"/>
      <c r="J3" s="2331"/>
      <c r="K3" s="2185" t="str">
        <f ca="1">Projekt!D7</f>
        <v>Nur als Testversion nutzbar!</v>
      </c>
      <c r="L3" s="2186"/>
      <c r="M3" s="2186"/>
      <c r="N3" s="2186"/>
      <c r="O3" s="2186"/>
      <c r="P3" s="2187"/>
    </row>
    <row r="4" spans="1:16" x14ac:dyDescent="0.4">
      <c r="A4" s="2327"/>
      <c r="B4" s="139" t="s">
        <v>252</v>
      </c>
      <c r="C4" s="2332" t="str">
        <f>Projekt!B14</f>
        <v>Musterbaustelle</v>
      </c>
      <c r="D4" s="2332"/>
      <c r="E4" s="2333"/>
      <c r="F4" s="171" t="s">
        <v>253</v>
      </c>
      <c r="G4" s="2334" t="str">
        <f>Projekt!B15</f>
        <v>xxx</v>
      </c>
      <c r="H4" s="2334"/>
      <c r="I4" s="2334"/>
      <c r="J4" s="2335"/>
      <c r="K4" s="2282" t="str">
        <f>IF(Projekt!D8&lt;&gt;0,Projekt!D8,"")</f>
        <v>Musterstraße</v>
      </c>
      <c r="L4" s="2283"/>
      <c r="M4" s="2283"/>
      <c r="N4" s="2283"/>
      <c r="O4" s="2283"/>
      <c r="P4" s="2284"/>
    </row>
    <row r="5" spans="1:16" x14ac:dyDescent="0.4">
      <c r="A5" s="2327"/>
      <c r="B5" s="2285" t="s">
        <v>33</v>
      </c>
      <c r="C5" s="2286"/>
      <c r="D5" s="2286"/>
      <c r="E5" s="9" t="str">
        <f>IF(Projekt!C$18=Projekt!F$18,"X","-")</f>
        <v>X</v>
      </c>
      <c r="F5" s="2215" t="s">
        <v>2</v>
      </c>
      <c r="G5" s="2215"/>
      <c r="H5" s="2215"/>
      <c r="I5" s="2215"/>
      <c r="J5" s="218" t="str">
        <f>IF(Projekt!C$19=Projekt!F$19,"X","-")</f>
        <v>X</v>
      </c>
      <c r="K5" s="2282" t="str">
        <f>IF(Projekt!D9&lt;&gt;0,Projekt!D9,"")</f>
        <v/>
      </c>
      <c r="L5" s="2283"/>
      <c r="M5" s="2283"/>
      <c r="N5" s="2283"/>
      <c r="O5" s="2283"/>
      <c r="P5" s="2284"/>
    </row>
    <row r="6" spans="1:16" x14ac:dyDescent="0.4">
      <c r="A6" s="2327"/>
      <c r="B6" s="2274" t="s">
        <v>34</v>
      </c>
      <c r="C6" s="2275"/>
      <c r="D6" s="2275"/>
      <c r="E6" s="219" t="str">
        <f>IF(Projekt!C$18=Projekt!G$18,"X","-")</f>
        <v>-</v>
      </c>
      <c r="F6" s="2232" t="s">
        <v>3</v>
      </c>
      <c r="G6" s="2233"/>
      <c r="H6" s="2233"/>
      <c r="I6" s="2233"/>
      <c r="J6" s="10" t="str">
        <f>IF(Projekt!C$19=Projekt!G$19,"X","-")</f>
        <v>-</v>
      </c>
      <c r="K6" s="2215" t="s">
        <v>1</v>
      </c>
      <c r="L6" s="2215"/>
      <c r="M6" s="2340">
        <f>Projekt!F14</f>
        <v>45047</v>
      </c>
      <c r="N6" s="2340"/>
      <c r="O6" s="2340"/>
      <c r="P6" s="2341"/>
    </row>
    <row r="7" spans="1:16" x14ac:dyDescent="0.4">
      <c r="A7" s="2327"/>
      <c r="B7" s="2243" t="s">
        <v>176</v>
      </c>
      <c r="C7" s="2244"/>
      <c r="D7" s="2244"/>
      <c r="E7" s="2244"/>
      <c r="F7" s="2336" t="s">
        <v>35</v>
      </c>
      <c r="G7" s="2337"/>
      <c r="H7" s="2337"/>
      <c r="I7" s="2337"/>
      <c r="J7" s="217" t="s">
        <v>9</v>
      </c>
      <c r="K7" s="2280" t="s">
        <v>223</v>
      </c>
      <c r="L7" s="2280"/>
      <c r="M7" s="2280"/>
      <c r="N7" s="2280"/>
      <c r="O7" s="2280"/>
      <c r="P7" s="2281"/>
    </row>
    <row r="8" spans="1:16" ht="15.4" thickBot="1" x14ac:dyDescent="0.45">
      <c r="A8" s="2327"/>
      <c r="B8" s="2344" t="str">
        <f ca="1">Stammdaten!B3</f>
        <v>KollV Hafner, Platten- und Fliesenleger</v>
      </c>
      <c r="C8" s="2345"/>
      <c r="D8" s="2345"/>
      <c r="E8" s="2345"/>
      <c r="F8" s="2345"/>
      <c r="G8" s="2345"/>
      <c r="H8" s="2345"/>
      <c r="I8" s="2345"/>
      <c r="J8" s="2345"/>
      <c r="K8" s="2345"/>
      <c r="L8" s="2346"/>
      <c r="M8" s="2299" t="s">
        <v>36</v>
      </c>
      <c r="N8" s="2300"/>
      <c r="O8" s="2338">
        <f ca="1">Stammdaten!B4</f>
        <v>45047</v>
      </c>
      <c r="P8" s="2339"/>
    </row>
    <row r="9" spans="1:16" x14ac:dyDescent="0.4">
      <c r="A9" s="142">
        <v>1</v>
      </c>
      <c r="B9" s="2287" t="s">
        <v>136</v>
      </c>
      <c r="C9" s="2288"/>
      <c r="D9" s="2288"/>
      <c r="E9" s="2289"/>
      <c r="F9" s="2254" t="s">
        <v>137</v>
      </c>
      <c r="G9" s="2255"/>
      <c r="H9" s="140" t="s">
        <v>37</v>
      </c>
      <c r="I9" s="2181" t="s">
        <v>38</v>
      </c>
      <c r="J9" s="2182"/>
      <c r="K9" s="2183" t="s">
        <v>138</v>
      </c>
      <c r="L9" s="2183"/>
      <c r="M9" s="2183"/>
      <c r="N9" s="2183"/>
      <c r="O9" s="2183"/>
      <c r="P9" s="39">
        <f ca="1">Projekt!C151</f>
        <v>39</v>
      </c>
    </row>
    <row r="10" spans="1:16" x14ac:dyDescent="0.4">
      <c r="A10" s="63" t="s">
        <v>39</v>
      </c>
      <c r="B10" s="2355" t="str">
        <f>Projekt!A346</f>
        <v>Qualifizierter Helfer</v>
      </c>
      <c r="C10" s="2355"/>
      <c r="D10" s="2355"/>
      <c r="E10" s="2356"/>
      <c r="F10" s="2357">
        <f ca="1">IFERROR((VLOOKUP(B10,Stammdaten!A$7:D$33,4,FALSE)),"")</f>
        <v>13.92</v>
      </c>
      <c r="G10" s="2357"/>
      <c r="H10" s="41">
        <f>Projekt!F346</f>
        <v>1</v>
      </c>
      <c r="I10" s="2358">
        <f ca="1">IF(PRODUCT(F10,H10)=0,"",F10*H10)</f>
        <v>13.92</v>
      </c>
      <c r="J10" s="2359"/>
      <c r="K10" s="2279" t="s">
        <v>232</v>
      </c>
      <c r="L10" s="2279"/>
      <c r="M10" s="2279"/>
      <c r="N10" s="2360"/>
      <c r="O10" s="40" t="s">
        <v>40</v>
      </c>
      <c r="P10" s="8" t="s">
        <v>23</v>
      </c>
    </row>
    <row r="11" spans="1:16" x14ac:dyDescent="0.4">
      <c r="A11" s="63" t="s">
        <v>41</v>
      </c>
      <c r="B11" s="2347"/>
      <c r="C11" s="2347"/>
      <c r="D11" s="2347"/>
      <c r="E11" s="2348"/>
      <c r="F11" s="2349"/>
      <c r="G11" s="2349"/>
      <c r="H11" s="44"/>
      <c r="I11" s="2350"/>
      <c r="J11" s="2351"/>
      <c r="K11" s="2434" t="str">
        <f>IF(Projekt!F368=1,Projekt!B369,"Regiestunde")</f>
        <v>Regiestunde</v>
      </c>
      <c r="L11" s="2435"/>
      <c r="M11" s="2435"/>
      <c r="N11" s="2435"/>
      <c r="O11" s="388" t="str">
        <f>IF(Projekt!F368=1,Projekt!E369,"")</f>
        <v/>
      </c>
      <c r="P11" s="389">
        <v>1</v>
      </c>
    </row>
    <row r="12" spans="1:16" x14ac:dyDescent="0.4">
      <c r="A12" s="63" t="s">
        <v>42</v>
      </c>
      <c r="B12" s="2347"/>
      <c r="C12" s="2347"/>
      <c r="D12" s="2347"/>
      <c r="E12" s="2348"/>
      <c r="F12" s="2349"/>
      <c r="G12" s="2349"/>
      <c r="H12" s="44"/>
      <c r="I12" s="2350"/>
      <c r="J12" s="2351"/>
      <c r="K12" s="2436" t="str">
        <f>IF(Projekt!F372=1,Projekt!B373,IF(Projekt!F376=1,Projekt!B377,""))</f>
        <v/>
      </c>
      <c r="L12" s="2437"/>
      <c r="M12" s="2437"/>
      <c r="N12" s="2438"/>
      <c r="O12" s="390" t="str">
        <f>IF(Projekt!F372=1,Projekt!E373,"")</f>
        <v/>
      </c>
      <c r="P12" s="391"/>
    </row>
    <row r="13" spans="1:16" x14ac:dyDescent="0.4">
      <c r="A13" s="63" t="s">
        <v>43</v>
      </c>
      <c r="B13" s="2347"/>
      <c r="C13" s="2347"/>
      <c r="D13" s="2347"/>
      <c r="E13" s="2348"/>
      <c r="F13" s="2349"/>
      <c r="G13" s="2349"/>
      <c r="H13" s="44"/>
      <c r="I13" s="2350"/>
      <c r="J13" s="2351"/>
      <c r="K13" s="2363"/>
      <c r="L13" s="2363"/>
      <c r="M13" s="2363"/>
      <c r="N13" s="2364"/>
      <c r="O13" s="45"/>
      <c r="P13" s="46"/>
    </row>
    <row r="14" spans="1:16" x14ac:dyDescent="0.4">
      <c r="A14" s="63" t="s">
        <v>44</v>
      </c>
      <c r="B14" s="2347"/>
      <c r="C14" s="2347"/>
      <c r="D14" s="2347"/>
      <c r="E14" s="2348"/>
      <c r="F14" s="2349"/>
      <c r="G14" s="2349"/>
      <c r="H14" s="44"/>
      <c r="I14" s="2350"/>
      <c r="J14" s="2351"/>
      <c r="K14" s="2363"/>
      <c r="L14" s="2363"/>
      <c r="M14" s="2363"/>
      <c r="N14" s="2364"/>
      <c r="O14" s="45"/>
      <c r="P14" s="46"/>
    </row>
    <row r="15" spans="1:16" x14ac:dyDescent="0.4">
      <c r="A15" s="63" t="s">
        <v>45</v>
      </c>
      <c r="B15" s="2347"/>
      <c r="C15" s="2347"/>
      <c r="D15" s="2347"/>
      <c r="E15" s="2348"/>
      <c r="F15" s="2349"/>
      <c r="G15" s="2349"/>
      <c r="H15" s="44"/>
      <c r="I15" s="2350"/>
      <c r="J15" s="2351"/>
      <c r="K15" s="2363"/>
      <c r="L15" s="2363"/>
      <c r="M15" s="2363"/>
      <c r="N15" s="2364"/>
      <c r="O15" s="45"/>
      <c r="P15" s="46"/>
    </row>
    <row r="16" spans="1:16" x14ac:dyDescent="0.4">
      <c r="A16" s="63" t="s">
        <v>46</v>
      </c>
      <c r="B16" s="2347"/>
      <c r="C16" s="2347"/>
      <c r="D16" s="2347"/>
      <c r="E16" s="2348"/>
      <c r="F16" s="2349"/>
      <c r="G16" s="2349"/>
      <c r="H16" s="44"/>
      <c r="I16" s="2350"/>
      <c r="J16" s="2351"/>
      <c r="K16" s="2374"/>
      <c r="L16" s="2374"/>
      <c r="M16" s="2374"/>
      <c r="N16" s="2375"/>
      <c r="O16" s="47"/>
      <c r="P16" s="48"/>
    </row>
    <row r="17" spans="1:16" x14ac:dyDescent="0.4">
      <c r="A17" s="63" t="s">
        <v>47</v>
      </c>
      <c r="B17" s="2347"/>
      <c r="C17" s="2347"/>
      <c r="D17" s="2347"/>
      <c r="E17" s="2348"/>
      <c r="F17" s="2349"/>
      <c r="G17" s="2349"/>
      <c r="H17" s="44"/>
      <c r="I17" s="2350"/>
      <c r="J17" s="2351"/>
      <c r="K17" s="2374"/>
      <c r="L17" s="2374"/>
      <c r="M17" s="2374"/>
      <c r="N17" s="2375"/>
      <c r="O17" s="47"/>
      <c r="P17" s="48"/>
    </row>
    <row r="18" spans="1:16" ht="15.4" thickBot="1" x14ac:dyDescent="0.45">
      <c r="A18" s="63" t="s">
        <v>48</v>
      </c>
      <c r="B18" s="2365"/>
      <c r="C18" s="2366"/>
      <c r="D18" s="2366"/>
      <c r="E18" s="2367"/>
      <c r="F18" s="2368"/>
      <c r="G18" s="2368"/>
      <c r="H18" s="49"/>
      <c r="I18" s="2369"/>
      <c r="J18" s="2370"/>
      <c r="K18" s="2371"/>
      <c r="L18" s="2371"/>
      <c r="M18" s="2371"/>
      <c r="N18" s="2372"/>
      <c r="O18" s="50"/>
      <c r="P18" s="51"/>
    </row>
    <row r="19" spans="1:16" ht="15.4" thickBot="1" x14ac:dyDescent="0.45">
      <c r="A19" s="63">
        <v>2</v>
      </c>
      <c r="B19" s="201" t="s">
        <v>49</v>
      </c>
      <c r="C19" s="37"/>
      <c r="D19" s="38"/>
      <c r="E19" s="38"/>
      <c r="F19" s="38"/>
      <c r="G19" s="38"/>
      <c r="H19" s="199">
        <f>SUM(H10:H18)</f>
        <v>1</v>
      </c>
      <c r="I19" s="2250">
        <f ca="1">IF(AND(_OK?="OK!",_OK_KV?="OK_KV!"),SUM(I10:J18),Projekt!G347)</f>
        <v>14</v>
      </c>
      <c r="J19" s="2251"/>
      <c r="K19" s="2373" t="s">
        <v>234</v>
      </c>
      <c r="L19" s="2373"/>
      <c r="M19" s="2373"/>
      <c r="N19" s="2373"/>
      <c r="O19" s="2373"/>
      <c r="P19" s="33">
        <f>Projekt!H367</f>
        <v>1</v>
      </c>
    </row>
    <row r="20" spans="1:16" x14ac:dyDescent="0.4">
      <c r="A20" s="63"/>
      <c r="B20" s="2244"/>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2376"/>
      <c r="I21" s="2376"/>
      <c r="J21" s="2376"/>
      <c r="K21" s="2376"/>
      <c r="L21" s="2376"/>
      <c r="M21" s="2376"/>
      <c r="N21" s="2377"/>
      <c r="O21" s="2432">
        <f ca="1">I19/H19</f>
        <v>14</v>
      </c>
      <c r="P21" s="2433"/>
    </row>
    <row r="22" spans="1:16" ht="15.4" thickBot="1" x14ac:dyDescent="0.45">
      <c r="A22" s="63">
        <v>4</v>
      </c>
      <c r="B22" s="2228" t="s">
        <v>50</v>
      </c>
      <c r="C22" s="2229"/>
      <c r="D22" s="2229"/>
      <c r="E22" s="2229"/>
      <c r="F22" s="2229"/>
      <c r="G22" s="2229"/>
      <c r="H22" s="2378" t="s">
        <v>51</v>
      </c>
      <c r="I22" s="2378"/>
      <c r="J22" s="2379"/>
      <c r="K22" s="2426">
        <f ca="1">Projekt!G359</f>
        <v>0</v>
      </c>
      <c r="L22" s="2427"/>
      <c r="M22" s="2380"/>
      <c r="N22" s="2381"/>
      <c r="O22" s="2430">
        <f ca="1">K22*O21</f>
        <v>0</v>
      </c>
      <c r="P22" s="2431"/>
    </row>
    <row r="23" spans="1:16" x14ac:dyDescent="0.4">
      <c r="A23" s="63">
        <v>5</v>
      </c>
      <c r="B23" s="2226" t="s">
        <v>233</v>
      </c>
      <c r="C23" s="2227"/>
      <c r="D23" s="2227"/>
      <c r="E23" s="2227"/>
      <c r="F23" s="2227"/>
      <c r="G23" s="2227"/>
      <c r="H23" s="2382" t="s">
        <v>284</v>
      </c>
      <c r="I23" s="2146"/>
      <c r="J23" s="2146"/>
      <c r="K23" s="2146"/>
      <c r="L23" s="2146"/>
      <c r="M23" s="2146"/>
      <c r="N23" s="282"/>
      <c r="O23" s="2420">
        <f ca="1">SUM(O21:O22)</f>
        <v>14</v>
      </c>
      <c r="P23" s="2421"/>
    </row>
    <row r="24" spans="1:16" x14ac:dyDescent="0.4">
      <c r="A24" s="63">
        <v>6</v>
      </c>
      <c r="B24" s="2233" t="s">
        <v>139</v>
      </c>
      <c r="C24" s="2233"/>
      <c r="D24" s="2233"/>
      <c r="E24" s="2233"/>
      <c r="F24" s="2233"/>
      <c r="G24" s="2233"/>
      <c r="H24" s="2224" t="s">
        <v>106</v>
      </c>
      <c r="I24" s="2224"/>
      <c r="J24" s="2225"/>
      <c r="K24" s="2428">
        <f ca="1">Projekt!H359</f>
        <v>9.9299999999999999E-2</v>
      </c>
      <c r="L24" s="2429"/>
      <c r="M24" s="2160"/>
      <c r="N24" s="2161"/>
      <c r="O24" s="2358">
        <f ca="1">K24*O23</f>
        <v>1.39</v>
      </c>
      <c r="P24" s="2359"/>
    </row>
    <row r="25" spans="1:16" x14ac:dyDescent="0.4">
      <c r="A25" s="63">
        <v>7</v>
      </c>
      <c r="B25" s="2233" t="s">
        <v>199</v>
      </c>
      <c r="C25" s="2233"/>
      <c r="D25" s="2233"/>
      <c r="E25" s="2233"/>
      <c r="F25" s="2233"/>
      <c r="G25" s="2233"/>
      <c r="H25" s="2224" t="s">
        <v>106</v>
      </c>
      <c r="I25" s="2224"/>
      <c r="J25" s="2225"/>
      <c r="K25" s="2424">
        <f>Projekt!H366</f>
        <v>0</v>
      </c>
      <c r="L25" s="2425"/>
      <c r="M25" s="2160"/>
      <c r="N25" s="2161"/>
      <c r="O25" s="2358">
        <f ca="1">K25*O23</f>
        <v>0</v>
      </c>
      <c r="P25" s="2359"/>
    </row>
    <row r="26" spans="1:16" x14ac:dyDescent="0.4">
      <c r="A26" s="63">
        <v>8</v>
      </c>
      <c r="B26" s="2233" t="s">
        <v>80</v>
      </c>
      <c r="C26" s="2233"/>
      <c r="D26" s="2233"/>
      <c r="E26" s="2233"/>
      <c r="F26" s="2233"/>
      <c r="G26" s="2233"/>
      <c r="H26" s="2224" t="s">
        <v>106</v>
      </c>
      <c r="I26" s="2224"/>
      <c r="J26" s="2225"/>
      <c r="K26" s="2424">
        <f>Projekt!H378</f>
        <v>0</v>
      </c>
      <c r="L26" s="2425"/>
      <c r="M26" s="2160"/>
      <c r="N26" s="2161"/>
      <c r="O26" s="2358">
        <f ca="1">K26*O23</f>
        <v>0</v>
      </c>
      <c r="P26" s="2359"/>
    </row>
    <row r="27" spans="1:16" ht="15.4" thickBot="1" x14ac:dyDescent="0.45">
      <c r="A27" s="63">
        <v>9</v>
      </c>
      <c r="B27" s="2216" t="s">
        <v>132</v>
      </c>
      <c r="C27" s="2217"/>
      <c r="D27" s="2217"/>
      <c r="E27" s="2217"/>
      <c r="F27" s="2217"/>
      <c r="G27" s="2217"/>
      <c r="H27" s="2217"/>
      <c r="I27" s="2217"/>
      <c r="J27" s="2217"/>
      <c r="K27" s="2217"/>
      <c r="L27" s="2217"/>
      <c r="M27" s="2217"/>
      <c r="N27" s="2218"/>
      <c r="O27" s="2399">
        <f ca="1">Projekt!H379</f>
        <v>1.21</v>
      </c>
      <c r="P27" s="2400"/>
    </row>
    <row r="28" spans="1:16" x14ac:dyDescent="0.4">
      <c r="A28" s="63">
        <v>10</v>
      </c>
      <c r="B28" s="2226" t="s">
        <v>52</v>
      </c>
      <c r="C28" s="2227"/>
      <c r="D28" s="2227"/>
      <c r="E28" s="2227"/>
      <c r="F28" s="2227"/>
      <c r="G28" s="2227"/>
      <c r="H28" s="2382" t="s">
        <v>287</v>
      </c>
      <c r="I28" s="2146"/>
      <c r="J28" s="2146"/>
      <c r="K28" s="2146"/>
      <c r="L28" s="2146"/>
      <c r="M28" s="2146"/>
      <c r="N28" s="281"/>
      <c r="O28" s="2420">
        <f ca="1">SUM(O23:P27)</f>
        <v>16.600000000000001</v>
      </c>
      <c r="P28" s="2421"/>
    </row>
    <row r="29" spans="1:16" x14ac:dyDescent="0.4">
      <c r="A29" s="63">
        <v>11</v>
      </c>
      <c r="B29" s="2322" t="s">
        <v>133</v>
      </c>
      <c r="C29" s="2322"/>
      <c r="D29" s="2322"/>
      <c r="E29" s="2322"/>
      <c r="F29" s="2322"/>
      <c r="G29" s="2322"/>
      <c r="H29" s="2322"/>
      <c r="I29" s="2322"/>
      <c r="J29" s="2322"/>
      <c r="K29" s="2322"/>
      <c r="L29" s="2322"/>
      <c r="M29" s="2322"/>
      <c r="N29" s="2322"/>
      <c r="O29" s="2358">
        <f ca="1">Projekt!H380</f>
        <v>0.94</v>
      </c>
      <c r="P29" s="2359"/>
    </row>
    <row r="30" spans="1:16" x14ac:dyDescent="0.4">
      <c r="A30" s="63">
        <v>12</v>
      </c>
      <c r="B30" s="2233" t="s">
        <v>53</v>
      </c>
      <c r="C30" s="2233"/>
      <c r="D30" s="2233"/>
      <c r="E30" s="2233"/>
      <c r="F30" s="2233"/>
      <c r="G30" s="2233"/>
      <c r="H30" s="2224" t="s">
        <v>54</v>
      </c>
      <c r="I30" s="2224"/>
      <c r="J30" s="2225"/>
      <c r="K30" s="2424">
        <f ca="1">Projekt!H381</f>
        <v>0.28110000000000002</v>
      </c>
      <c r="L30" s="2425"/>
      <c r="M30" s="2160"/>
      <c r="N30" s="2161"/>
      <c r="O30" s="2358">
        <f ca="1">K30*O28</f>
        <v>4.67</v>
      </c>
      <c r="P30" s="2359"/>
    </row>
    <row r="31" spans="1:16" x14ac:dyDescent="0.4">
      <c r="A31" s="63">
        <v>13</v>
      </c>
      <c r="B31" s="2233" t="s">
        <v>55</v>
      </c>
      <c r="C31" s="2233"/>
      <c r="D31" s="2233"/>
      <c r="E31" s="2233"/>
      <c r="F31" s="2233"/>
      <c r="G31" s="2233"/>
      <c r="H31" s="2224" t="s">
        <v>54</v>
      </c>
      <c r="I31" s="2224"/>
      <c r="J31" s="2225"/>
      <c r="K31" s="2424">
        <f ca="1">Projekt!H382</f>
        <v>0.82350000000000001</v>
      </c>
      <c r="L31" s="2425"/>
      <c r="M31" s="2160"/>
      <c r="N31" s="2161"/>
      <c r="O31" s="2358">
        <f ca="1">K31*O28</f>
        <v>13.67</v>
      </c>
      <c r="P31" s="2359"/>
    </row>
    <row r="32" spans="1:16" ht="15.4" thickBot="1" x14ac:dyDescent="0.45">
      <c r="A32" s="63">
        <v>14</v>
      </c>
      <c r="B32" s="2311" t="s">
        <v>56</v>
      </c>
      <c r="C32" s="2312"/>
      <c r="D32" s="2312"/>
      <c r="E32" s="2312"/>
      <c r="F32" s="2312"/>
      <c r="G32" s="2312"/>
      <c r="H32" s="2313" t="s">
        <v>54</v>
      </c>
      <c r="I32" s="2313"/>
      <c r="J32" s="2314"/>
      <c r="K32" s="2426">
        <f ca="1">Projekt!H383</f>
        <v>0</v>
      </c>
      <c r="L32" s="2427"/>
      <c r="M32" s="2162"/>
      <c r="N32" s="2163"/>
      <c r="O32" s="2399">
        <f ca="1">K32*O28</f>
        <v>0</v>
      </c>
      <c r="P32" s="2400"/>
    </row>
    <row r="33" spans="1:16" x14ac:dyDescent="0.4">
      <c r="A33" s="63">
        <v>15</v>
      </c>
      <c r="B33" s="2226" t="s">
        <v>57</v>
      </c>
      <c r="C33" s="2227"/>
      <c r="D33" s="2227"/>
      <c r="E33" s="2227"/>
      <c r="F33" s="2227"/>
      <c r="G33" s="2227"/>
      <c r="H33" s="2382" t="s">
        <v>288</v>
      </c>
      <c r="I33" s="2146"/>
      <c r="J33" s="2146"/>
      <c r="K33" s="2146"/>
      <c r="L33" s="2146"/>
      <c r="M33" s="2146"/>
      <c r="N33" s="2146"/>
      <c r="O33" s="2420">
        <f ca="1">SUM(O28:P32)</f>
        <v>35.880000000000003</v>
      </c>
      <c r="P33" s="2421"/>
    </row>
    <row r="34" spans="1:16" x14ac:dyDescent="0.4">
      <c r="A34" s="63">
        <v>16</v>
      </c>
      <c r="B34" s="2177" t="s">
        <v>58</v>
      </c>
      <c r="C34" s="2177"/>
      <c r="D34" s="2177"/>
      <c r="E34" s="2177"/>
      <c r="F34" s="2177"/>
      <c r="G34" s="2177"/>
      <c r="H34" s="2324" t="s">
        <v>59</v>
      </c>
      <c r="I34" s="2324"/>
      <c r="J34" s="2325"/>
      <c r="K34" s="2158">
        <f ca="1">Projekt!H384</f>
        <v>0.18554999999999999</v>
      </c>
      <c r="L34" s="2159"/>
      <c r="M34" s="2287"/>
      <c r="N34" s="2288"/>
      <c r="O34" s="2422">
        <f ca="1">K34*O33</f>
        <v>6.66</v>
      </c>
      <c r="P34" s="2423"/>
    </row>
    <row r="35" spans="1:16" ht="24.4" customHeight="1" x14ac:dyDescent="0.4">
      <c r="A35" s="63">
        <v>17</v>
      </c>
      <c r="B35" s="2203" t="s">
        <v>110</v>
      </c>
      <c r="C35" s="2204"/>
      <c r="D35" s="2204"/>
      <c r="E35" s="2204"/>
      <c r="F35" s="2204"/>
      <c r="G35" s="2204"/>
      <c r="H35" s="2204"/>
      <c r="I35" s="2204"/>
      <c r="J35" s="2205"/>
      <c r="K35" s="2152" t="s">
        <v>134</v>
      </c>
      <c r="L35" s="2153"/>
      <c r="M35" s="2152" t="str">
        <f>IF(Projekt!F272="Nein","Umlage in €/Std","Umlage in €/Std bzw U% x B15")</f>
        <v>Umlage in €/Std</v>
      </c>
      <c r="N35" s="2153"/>
      <c r="O35" s="2389"/>
      <c r="P35" s="2390"/>
    </row>
    <row r="36" spans="1:16" x14ac:dyDescent="0.4">
      <c r="A36" s="141" t="s">
        <v>60</v>
      </c>
      <c r="B36" s="2206" t="str">
        <f>Projekt!A387</f>
        <v/>
      </c>
      <c r="C36" s="2207"/>
      <c r="D36" s="2207"/>
      <c r="E36" s="2207"/>
      <c r="F36" s="2207"/>
      <c r="G36" s="2207"/>
      <c r="H36" s="2207"/>
      <c r="I36" s="2207"/>
      <c r="J36" s="2208"/>
      <c r="K36" s="2401" t="str">
        <f>IF(Projekt!G387=0,"",Projekt!G387)</f>
        <v/>
      </c>
      <c r="L36" s="2402"/>
      <c r="M36" s="2383" t="str">
        <f>IFERROR(IF(AND(Projekt!F387=0,Projekt!G387=0),"",IF(Projekt!G387&gt;0,Projekt!G387*O$33,IF(Projekt!F387=0,"",Projekt!F387))),"")</f>
        <v/>
      </c>
      <c r="N36" s="2384"/>
      <c r="O36" s="2391"/>
      <c r="P36" s="2392"/>
    </row>
    <row r="37" spans="1:16" x14ac:dyDescent="0.4">
      <c r="A37" s="141" t="s">
        <v>61</v>
      </c>
      <c r="B37" s="2185">
        <f>Projekt!A388</f>
        <v>0</v>
      </c>
      <c r="C37" s="2186"/>
      <c r="D37" s="2186"/>
      <c r="E37" s="2186"/>
      <c r="F37" s="2186"/>
      <c r="G37" s="2186"/>
      <c r="H37" s="2186"/>
      <c r="I37" s="2186"/>
      <c r="J37" s="2187"/>
      <c r="K37" s="2395" t="str">
        <f>IF(Projekt!G388=0,"",Projekt!G388)</f>
        <v/>
      </c>
      <c r="L37" s="2396"/>
      <c r="M37" s="2358" t="str">
        <f ca="1">IFERROR(IF(AND(Projekt!F388=0,Projekt!G388=0),"",IF(Projekt!G388&gt;0,Projekt!G388*O$33,IF(Projekt!F388=0,"",Projekt!F388))),"")</f>
        <v/>
      </c>
      <c r="N37" s="2359"/>
      <c r="O37" s="2391"/>
      <c r="P37" s="2392"/>
    </row>
    <row r="38" spans="1:16" ht="15.4" thickBot="1" x14ac:dyDescent="0.45">
      <c r="A38" s="141" t="s">
        <v>62</v>
      </c>
      <c r="B38" s="2209">
        <f>Projekt!A389</f>
        <v>0</v>
      </c>
      <c r="C38" s="2210"/>
      <c r="D38" s="2210"/>
      <c r="E38" s="2210"/>
      <c r="F38" s="2210"/>
      <c r="G38" s="2210"/>
      <c r="H38" s="2210"/>
      <c r="I38" s="2210"/>
      <c r="J38" s="2211"/>
      <c r="K38" s="2397" t="str">
        <f>IF(Projekt!G389=0,"",Projekt!G389)</f>
        <v/>
      </c>
      <c r="L38" s="2398"/>
      <c r="M38" s="2399" t="str">
        <f ca="1">IFERROR(IF(AND(Projekt!F389=0,Projekt!G389=0),"",IF(Projekt!G389&gt;0,Projekt!G389*O$33,IF(Projekt!F389=0,"",Projekt!F389))),"")</f>
        <v/>
      </c>
      <c r="N38" s="2400"/>
      <c r="O38" s="2393"/>
      <c r="P38" s="2394"/>
    </row>
    <row r="39" spans="1:16" ht="15.4" thickBot="1" x14ac:dyDescent="0.45">
      <c r="A39" s="64">
        <v>18</v>
      </c>
      <c r="B39" s="52" t="s">
        <v>293</v>
      </c>
      <c r="C39" s="4"/>
      <c r="D39" s="4"/>
      <c r="E39" s="4"/>
      <c r="F39" s="53"/>
      <c r="G39" s="53"/>
      <c r="H39" s="54"/>
      <c r="I39" s="2313" t="s">
        <v>295</v>
      </c>
      <c r="J39" s="2313"/>
      <c r="K39" s="2313"/>
      <c r="L39" s="2314"/>
      <c r="M39" s="2411" t="str">
        <f ca="1">IF(SUM(M36:N38)&gt;0,SUM(M36:N38),"")</f>
        <v/>
      </c>
      <c r="N39" s="2412"/>
      <c r="O39" s="2413">
        <f ca="1">O33+O34</f>
        <v>42.54</v>
      </c>
      <c r="P39" s="2412"/>
    </row>
    <row r="40" spans="1:16" ht="27.85" customHeight="1" thickBot="1" x14ac:dyDescent="0.45">
      <c r="A40" s="64">
        <v>19</v>
      </c>
      <c r="B40" s="2262" t="s">
        <v>235</v>
      </c>
      <c r="C40" s="2263"/>
      <c r="D40" s="2263"/>
      <c r="E40" s="2263"/>
      <c r="F40" s="2263"/>
      <c r="G40" s="2263"/>
      <c r="H40" s="2263"/>
      <c r="I40" s="2263"/>
      <c r="J40" s="2307"/>
      <c r="K40" s="2309" t="s">
        <v>289</v>
      </c>
      <c r="L40" s="2310"/>
      <c r="M40" s="474"/>
      <c r="N40" s="2385">
        <f ca="1">SUM(M39:P39)</f>
        <v>42.54</v>
      </c>
      <c r="O40" s="2385"/>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08" t="s">
        <v>65</v>
      </c>
      <c r="C42" s="2409"/>
      <c r="D42" s="2409"/>
      <c r="E42" s="2409"/>
      <c r="F42" s="2409"/>
      <c r="G42" s="2409"/>
      <c r="H42" s="2410"/>
      <c r="I42" s="2188" t="s">
        <v>63</v>
      </c>
      <c r="J42" s="2189"/>
      <c r="K42" s="2188" t="s">
        <v>64</v>
      </c>
      <c r="L42" s="2189"/>
      <c r="M42" s="2386"/>
      <c r="N42" s="2387"/>
      <c r="O42" s="2387"/>
      <c r="P42" s="2388"/>
    </row>
    <row r="43" spans="1:16" ht="15.4" thickBot="1" x14ac:dyDescent="0.45">
      <c r="A43" s="64">
        <v>20</v>
      </c>
      <c r="B43" s="2318"/>
      <c r="C43" s="2319"/>
      <c r="D43" s="2319"/>
      <c r="E43" s="2319"/>
      <c r="F43" s="2319"/>
      <c r="G43" s="2319"/>
      <c r="H43" s="2320"/>
      <c r="I43" s="2418" t="str">
        <f ca="1">IF(M39="","",Projekt!G267)</f>
        <v/>
      </c>
      <c r="J43" s="2419"/>
      <c r="K43" s="2418">
        <f>Projekt!E392</f>
        <v>0.25802999999999998</v>
      </c>
      <c r="L43" s="2419"/>
      <c r="M43" s="2414" t="str">
        <f ca="1">IFERROR(I43*M39,"")</f>
        <v/>
      </c>
      <c r="N43" s="2415"/>
      <c r="O43" s="2414">
        <f ca="1">K43*O39</f>
        <v>10.98</v>
      </c>
      <c r="P43" s="2415"/>
    </row>
    <row r="44" spans="1:16" ht="15.4" thickBot="1" x14ac:dyDescent="0.45">
      <c r="A44" s="64">
        <v>21</v>
      </c>
      <c r="B44" s="2404" t="s">
        <v>292</v>
      </c>
      <c r="C44" s="2405"/>
      <c r="D44" s="2405"/>
      <c r="E44" s="2405"/>
      <c r="F44" s="2405"/>
      <c r="G44" s="2405"/>
      <c r="H44" s="2405"/>
      <c r="I44" s="2258" t="s">
        <v>291</v>
      </c>
      <c r="J44" s="2258"/>
      <c r="K44" s="2258"/>
      <c r="L44" s="2259"/>
      <c r="M44" s="2416">
        <f ca="1">IFERROR(SUM(M39,M43),"")</f>
        <v>0</v>
      </c>
      <c r="N44" s="2417"/>
      <c r="O44" s="2416">
        <f ca="1">SUM(O39:P43)</f>
        <v>53.52</v>
      </c>
      <c r="P44" s="2417"/>
    </row>
    <row r="45" spans="1:16" ht="27.85" customHeight="1" thickBot="1" x14ac:dyDescent="0.45">
      <c r="A45" s="65">
        <v>22</v>
      </c>
      <c r="B45" s="2262" t="s">
        <v>238</v>
      </c>
      <c r="C45" s="2263"/>
      <c r="D45" s="2263"/>
      <c r="E45" s="2263"/>
      <c r="F45" s="2263"/>
      <c r="G45" s="2263"/>
      <c r="H45" s="2263"/>
      <c r="I45" s="2263"/>
      <c r="J45" s="2307"/>
      <c r="K45" s="2309" t="s">
        <v>290</v>
      </c>
      <c r="L45" s="2310"/>
      <c r="M45" s="474"/>
      <c r="N45" s="2385">
        <f ca="1">SUM(M44:P44)</f>
        <v>53.52</v>
      </c>
      <c r="O45" s="2385"/>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4" t="str">
        <f>"Lizenziert für:
"&amp;'Lizenz u lies mich'!B32</f>
        <v>Lizenziert für:
Vers. 3.0</v>
      </c>
      <c r="B47" s="2145"/>
      <c r="C47" s="2145"/>
      <c r="D47" s="2305" t="str">
        <f ca="1">' K3 PP'!D47</f>
        <v>Keine gültige Lizenz! Nur als Testversion nutzbar!</v>
      </c>
      <c r="E47" s="2305"/>
      <c r="F47" s="2305"/>
      <c r="G47" s="2305"/>
      <c r="H47" s="2306"/>
      <c r="I47" s="2304"/>
      <c r="J47" s="2304"/>
      <c r="K47" s="2304"/>
      <c r="L47" s="2304"/>
      <c r="M47" s="2304"/>
      <c r="N47" s="2301" t="s">
        <v>598</v>
      </c>
      <c r="O47" s="2302"/>
      <c r="P47" s="2303"/>
    </row>
  </sheetData>
  <sheetProtection password="B984" sheet="1" scenarios="1" formatColumns="0" selectLockedCells="1"/>
  <mergeCells count="161">
    <mergeCell ref="A2:A8"/>
    <mergeCell ref="B2:E3"/>
    <mergeCell ref="F2:J3"/>
    <mergeCell ref="K2:P2"/>
    <mergeCell ref="C4:E4"/>
    <mergeCell ref="G4:J4"/>
    <mergeCell ref="B5:D5"/>
    <mergeCell ref="F5:I5"/>
    <mergeCell ref="B6:D6"/>
    <mergeCell ref="F6:I6"/>
    <mergeCell ref="K6:L6"/>
    <mergeCell ref="M6:P6"/>
    <mergeCell ref="B8:L8"/>
    <mergeCell ref="K4:P4"/>
    <mergeCell ref="K3:P3"/>
    <mergeCell ref="K5:P5"/>
    <mergeCell ref="B1:E1"/>
    <mergeCell ref="B9:E9"/>
    <mergeCell ref="F9:G9"/>
    <mergeCell ref="I9:J9"/>
    <mergeCell ref="K9:O9"/>
    <mergeCell ref="B10:E10"/>
    <mergeCell ref="F10:G10"/>
    <mergeCell ref="I10:J10"/>
    <mergeCell ref="K10:N10"/>
    <mergeCell ref="B7:E7"/>
    <mergeCell ref="F7:I7"/>
    <mergeCell ref="K7:P7"/>
    <mergeCell ref="M8:N8"/>
    <mergeCell ref="O8:P8"/>
    <mergeCell ref="G1:P1"/>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O23:P23"/>
    <mergeCell ref="I19:J19"/>
    <mergeCell ref="K19:O19"/>
    <mergeCell ref="B20:L20"/>
    <mergeCell ref="M20:N20"/>
    <mergeCell ref="O20:P20"/>
    <mergeCell ref="H21:N21"/>
    <mergeCell ref="O21:P21"/>
    <mergeCell ref="H23:M23"/>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45" priority="11">
      <formula>$J$5="X"</formula>
    </cfRule>
  </conditionalFormatting>
  <conditionalFormatting sqref="F6:I6">
    <cfRule type="expression" dxfId="44" priority="10">
      <formula>$J$6="X"</formula>
    </cfRule>
  </conditionalFormatting>
  <conditionalFormatting sqref="B5:D5">
    <cfRule type="expression" dxfId="43" priority="9">
      <formula>$E$5="X"</formula>
    </cfRule>
  </conditionalFormatting>
  <conditionalFormatting sqref="B6:D6">
    <cfRule type="expression" dxfId="42" priority="8">
      <formula>$E$6="X"</formula>
    </cfRule>
  </conditionalFormatting>
  <conditionalFormatting sqref="N45:O45 N40:O40 K3:P5">
    <cfRule type="expression" dxfId="41" priority="7">
      <formula>OR(_OK?&lt;&gt;"OK!",_OK_KV?&lt;&gt;"OK_KV!")</formula>
    </cfRule>
  </conditionalFormatting>
  <conditionalFormatting sqref="B36:J38">
    <cfRule type="expression" dxfId="40" priority="6">
      <formula>$B36=0</formula>
    </cfRule>
  </conditionalFormatting>
  <conditionalFormatting sqref="I19:J19 O21:P21 D47:H47">
    <cfRule type="expression" dxfId="39" priority="5">
      <formula>_OK?&lt;&gt;"OK!"</formula>
    </cfRule>
  </conditionalFormatting>
  <conditionalFormatting sqref="N45:O45 N40:O40">
    <cfRule type="expression" dxfId="38"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Regie02"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3" id="{374D0151-EC42-4327-9094-3EFB2EC80ABC}">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931FC410-04C8-4787-A8A9-6ECE23AC679E}">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24960FC0-7FF0-43BE-8DA0-1BCCBD1EE17B}">
            <xm:f>Projekt!$F$272="Nein"</xm:f>
            <x14:dxf>
              <font>
                <color theme="0"/>
              </font>
              <border>
                <left style="thin">
                  <color theme="0"/>
                </left>
                <vertical/>
                <horizontal/>
              </border>
            </x14:dxf>
          </x14:cfRule>
          <xm:sqref>K35:L38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AB15-FD3E-45FE-870E-94B95A7CE897}">
  <sheetPr>
    <tabColor theme="9" tint="-0.249977111117893"/>
  </sheetPr>
  <dimension ref="A1:P47"/>
  <sheetViews>
    <sheetView showGridLines="0" topLeftCell="A34"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0" t="s">
        <v>30</v>
      </c>
      <c r="C1" s="2180"/>
      <c r="D1" s="2180"/>
      <c r="E1" s="2180"/>
      <c r="F1" s="206" t="s">
        <v>294</v>
      </c>
      <c r="G1" s="2342" t="str">
        <f>Projekt!D10</f>
        <v xml:space="preserve">Musterbaustelle </v>
      </c>
      <c r="H1" s="2342"/>
      <c r="I1" s="2342"/>
      <c r="J1" s="2342"/>
      <c r="K1" s="2342"/>
      <c r="L1" s="2342"/>
      <c r="M1" s="2342"/>
      <c r="N1" s="2342"/>
      <c r="O1" s="2342"/>
      <c r="P1" s="2343"/>
    </row>
    <row r="2" spans="1:16" x14ac:dyDescent="0.4">
      <c r="A2" s="2326"/>
      <c r="B2" s="2264" t="s">
        <v>69</v>
      </c>
      <c r="C2" s="2265"/>
      <c r="D2" s="2265"/>
      <c r="E2" s="2265"/>
      <c r="F2" s="2328" t="str">
        <f>Projekt!D401</f>
        <v>Regie Hilfsarbeiter</v>
      </c>
      <c r="G2" s="2328"/>
      <c r="H2" s="2328"/>
      <c r="I2" s="2328"/>
      <c r="J2" s="2329"/>
      <c r="K2" s="2232" t="s">
        <v>32</v>
      </c>
      <c r="L2" s="2233"/>
      <c r="M2" s="2233"/>
      <c r="N2" s="2233"/>
      <c r="O2" s="2233"/>
      <c r="P2" s="2298"/>
    </row>
    <row r="3" spans="1:16" x14ac:dyDescent="0.4">
      <c r="A3" s="2327"/>
      <c r="B3" s="2266"/>
      <c r="C3" s="2267"/>
      <c r="D3" s="2267"/>
      <c r="E3" s="2267"/>
      <c r="F3" s="2330"/>
      <c r="G3" s="2330"/>
      <c r="H3" s="2330"/>
      <c r="I3" s="2330"/>
      <c r="J3" s="2331"/>
      <c r="K3" s="2185" t="str">
        <f ca="1">Projekt!D7</f>
        <v>Nur als Testversion nutzbar!</v>
      </c>
      <c r="L3" s="2186"/>
      <c r="M3" s="2186"/>
      <c r="N3" s="2186"/>
      <c r="O3" s="2186"/>
      <c r="P3" s="2187"/>
    </row>
    <row r="4" spans="1:16" x14ac:dyDescent="0.4">
      <c r="A4" s="2327"/>
      <c r="B4" s="521" t="s">
        <v>252</v>
      </c>
      <c r="C4" s="2332" t="str">
        <f>Projekt!B14</f>
        <v>Musterbaustelle</v>
      </c>
      <c r="D4" s="2332"/>
      <c r="E4" s="2333"/>
      <c r="F4" s="521" t="s">
        <v>253</v>
      </c>
      <c r="G4" s="2334" t="str">
        <f>Projekt!B15</f>
        <v>xxx</v>
      </c>
      <c r="H4" s="2334"/>
      <c r="I4" s="2334"/>
      <c r="J4" s="2335"/>
      <c r="K4" s="2282" t="str">
        <f>IF(Projekt!D8&lt;&gt;0,Projekt!D8,"")</f>
        <v>Musterstraße</v>
      </c>
      <c r="L4" s="2283"/>
      <c r="M4" s="2283"/>
      <c r="N4" s="2283"/>
      <c r="O4" s="2283"/>
      <c r="P4" s="2284"/>
    </row>
    <row r="5" spans="1:16" x14ac:dyDescent="0.4">
      <c r="A5" s="2327"/>
      <c r="B5" s="2285" t="s">
        <v>33</v>
      </c>
      <c r="C5" s="2286"/>
      <c r="D5" s="2286"/>
      <c r="E5" s="9" t="str">
        <f>IF(Projekt!C$18=Projekt!F$18,"X","-")</f>
        <v>X</v>
      </c>
      <c r="F5" s="2215" t="s">
        <v>2</v>
      </c>
      <c r="G5" s="2215"/>
      <c r="H5" s="2215"/>
      <c r="I5" s="2215"/>
      <c r="J5" s="218" t="str">
        <f>IF(Projekt!C$19=Projekt!F$19,"X","-")</f>
        <v>X</v>
      </c>
      <c r="K5" s="2282" t="str">
        <f>IF(Projekt!D9&lt;&gt;0,Projekt!D9,"")</f>
        <v/>
      </c>
      <c r="L5" s="2283"/>
      <c r="M5" s="2283"/>
      <c r="N5" s="2283"/>
      <c r="O5" s="2283"/>
      <c r="P5" s="2284"/>
    </row>
    <row r="6" spans="1:16" x14ac:dyDescent="0.4">
      <c r="A6" s="2327"/>
      <c r="B6" s="2274" t="s">
        <v>34</v>
      </c>
      <c r="C6" s="2275"/>
      <c r="D6" s="2275"/>
      <c r="E6" s="219" t="str">
        <f>IF(Projekt!C$18=Projekt!G$18,"X","-")</f>
        <v>-</v>
      </c>
      <c r="F6" s="2232" t="s">
        <v>3</v>
      </c>
      <c r="G6" s="2233"/>
      <c r="H6" s="2233"/>
      <c r="I6" s="2233"/>
      <c r="J6" s="10" t="str">
        <f>IF(Projekt!C$19=Projekt!G$19,"X","-")</f>
        <v>-</v>
      </c>
      <c r="K6" s="2215" t="s">
        <v>1</v>
      </c>
      <c r="L6" s="2215"/>
      <c r="M6" s="2340">
        <f>Projekt!F14</f>
        <v>45047</v>
      </c>
      <c r="N6" s="2340"/>
      <c r="O6" s="2340"/>
      <c r="P6" s="2341"/>
    </row>
    <row r="7" spans="1:16" x14ac:dyDescent="0.4">
      <c r="A7" s="2327"/>
      <c r="B7" s="2243" t="s">
        <v>176</v>
      </c>
      <c r="C7" s="2244"/>
      <c r="D7" s="2244"/>
      <c r="E7" s="2244"/>
      <c r="F7" s="2336" t="s">
        <v>35</v>
      </c>
      <c r="G7" s="2337"/>
      <c r="H7" s="2337"/>
      <c r="I7" s="2337"/>
      <c r="J7" s="217" t="s">
        <v>9</v>
      </c>
      <c r="K7" s="2280" t="s">
        <v>223</v>
      </c>
      <c r="L7" s="2280"/>
      <c r="M7" s="2280"/>
      <c r="N7" s="2280"/>
      <c r="O7" s="2280"/>
      <c r="P7" s="2281"/>
    </row>
    <row r="8" spans="1:16" ht="15.4" thickBot="1" x14ac:dyDescent="0.45">
      <c r="A8" s="2327"/>
      <c r="B8" s="2344" t="str">
        <f ca="1">Stammdaten!B3</f>
        <v>KollV Hafner, Platten- und Fliesenleger</v>
      </c>
      <c r="C8" s="2345"/>
      <c r="D8" s="2345"/>
      <c r="E8" s="2345"/>
      <c r="F8" s="2345"/>
      <c r="G8" s="2345"/>
      <c r="H8" s="2345"/>
      <c r="I8" s="2345"/>
      <c r="J8" s="2345"/>
      <c r="K8" s="2345"/>
      <c r="L8" s="2346"/>
      <c r="M8" s="2299" t="s">
        <v>36</v>
      </c>
      <c r="N8" s="2300"/>
      <c r="O8" s="2338">
        <f ca="1">Stammdaten!B4</f>
        <v>45047</v>
      </c>
      <c r="P8" s="2339"/>
    </row>
    <row r="9" spans="1:16" x14ac:dyDescent="0.4">
      <c r="A9" s="142">
        <v>1</v>
      </c>
      <c r="B9" s="2287" t="s">
        <v>136</v>
      </c>
      <c r="C9" s="2288"/>
      <c r="D9" s="2288"/>
      <c r="E9" s="2289"/>
      <c r="F9" s="2254" t="s">
        <v>137</v>
      </c>
      <c r="G9" s="2255"/>
      <c r="H9" s="522" t="s">
        <v>37</v>
      </c>
      <c r="I9" s="2181" t="s">
        <v>38</v>
      </c>
      <c r="J9" s="2182"/>
      <c r="K9" s="2183" t="s">
        <v>138</v>
      </c>
      <c r="L9" s="2183"/>
      <c r="M9" s="2183"/>
      <c r="N9" s="2183"/>
      <c r="O9" s="2183"/>
      <c r="P9" s="39">
        <f ca="1">Projekt!C151</f>
        <v>39</v>
      </c>
    </row>
    <row r="10" spans="1:16" x14ac:dyDescent="0.4">
      <c r="A10" s="63" t="s">
        <v>39</v>
      </c>
      <c r="B10" s="2355" t="str">
        <f>Projekt!A404</f>
        <v>6. Hilfsarbeiter</v>
      </c>
      <c r="C10" s="2355"/>
      <c r="D10" s="2355"/>
      <c r="E10" s="2356"/>
      <c r="F10" s="2357" t="str">
        <f ca="1">IFERROR((VLOOKUP(B10,Stammdaten!A$7:D$33,4,FALSE)),"")</f>
        <v/>
      </c>
      <c r="G10" s="2357"/>
      <c r="H10" s="41">
        <f>Projekt!F404</f>
        <v>1</v>
      </c>
      <c r="I10" s="2358" t="e">
        <f ca="1">IF(PRODUCT(F10,H10)=0,"",F10*H10)</f>
        <v>#VALUE!</v>
      </c>
      <c r="J10" s="2359"/>
      <c r="K10" s="2279" t="s">
        <v>232</v>
      </c>
      <c r="L10" s="2279"/>
      <c r="M10" s="2279"/>
      <c r="N10" s="2360"/>
      <c r="O10" s="523" t="s">
        <v>40</v>
      </c>
      <c r="P10" s="8" t="s">
        <v>23</v>
      </c>
    </row>
    <row r="11" spans="1:16" x14ac:dyDescent="0.4">
      <c r="A11" s="63" t="s">
        <v>41</v>
      </c>
      <c r="B11" s="2347"/>
      <c r="C11" s="2347"/>
      <c r="D11" s="2347"/>
      <c r="E11" s="2348"/>
      <c r="F11" s="2349"/>
      <c r="G11" s="2349"/>
      <c r="H11" s="44"/>
      <c r="I11" s="2350"/>
      <c r="J11" s="2351"/>
      <c r="K11" s="2434" t="str">
        <f>IF(Projekt!F426=1,Projekt!B427,"Regiestunde")</f>
        <v>Regiestunde</v>
      </c>
      <c r="L11" s="2435"/>
      <c r="M11" s="2435"/>
      <c r="N11" s="2435"/>
      <c r="O11" s="388" t="str">
        <f>IF(Projekt!F426=1,Projekt!E427,"")</f>
        <v/>
      </c>
      <c r="P11" s="389">
        <v>1</v>
      </c>
    </row>
    <row r="12" spans="1:16" x14ac:dyDescent="0.4">
      <c r="A12" s="63" t="s">
        <v>42</v>
      </c>
      <c r="B12" s="2347"/>
      <c r="C12" s="2347"/>
      <c r="D12" s="2347"/>
      <c r="E12" s="2348"/>
      <c r="F12" s="2349"/>
      <c r="G12" s="2349"/>
      <c r="H12" s="44"/>
      <c r="I12" s="2350"/>
      <c r="J12" s="2351"/>
      <c r="K12" s="2436" t="str">
        <f>IF(Projekt!F430=1,Projekt!B431,IF(Projekt!F434=1,Projekt!B435,""))</f>
        <v/>
      </c>
      <c r="L12" s="2437"/>
      <c r="M12" s="2437"/>
      <c r="N12" s="2438"/>
      <c r="O12" s="390" t="str">
        <f>IF(Projekt!F430=1,Projekt!E431,"")</f>
        <v/>
      </c>
      <c r="P12" s="391"/>
    </row>
    <row r="13" spans="1:16" x14ac:dyDescent="0.4">
      <c r="A13" s="63" t="s">
        <v>43</v>
      </c>
      <c r="B13" s="2347"/>
      <c r="C13" s="2347"/>
      <c r="D13" s="2347"/>
      <c r="E13" s="2348"/>
      <c r="F13" s="2349"/>
      <c r="G13" s="2349"/>
      <c r="H13" s="44"/>
      <c r="I13" s="2350"/>
      <c r="J13" s="2351"/>
      <c r="K13" s="2363"/>
      <c r="L13" s="2363"/>
      <c r="M13" s="2363"/>
      <c r="N13" s="2364"/>
      <c r="O13" s="45"/>
      <c r="P13" s="46"/>
    </row>
    <row r="14" spans="1:16" x14ac:dyDescent="0.4">
      <c r="A14" s="63" t="s">
        <v>44</v>
      </c>
      <c r="B14" s="2347"/>
      <c r="C14" s="2347"/>
      <c r="D14" s="2347"/>
      <c r="E14" s="2348"/>
      <c r="F14" s="2349"/>
      <c r="G14" s="2349"/>
      <c r="H14" s="44"/>
      <c r="I14" s="2350"/>
      <c r="J14" s="2351"/>
      <c r="K14" s="2363"/>
      <c r="L14" s="2363"/>
      <c r="M14" s="2363"/>
      <c r="N14" s="2364"/>
      <c r="O14" s="45"/>
      <c r="P14" s="46"/>
    </row>
    <row r="15" spans="1:16" x14ac:dyDescent="0.4">
      <c r="A15" s="63" t="s">
        <v>45</v>
      </c>
      <c r="B15" s="2347"/>
      <c r="C15" s="2347"/>
      <c r="D15" s="2347"/>
      <c r="E15" s="2348"/>
      <c r="F15" s="2349"/>
      <c r="G15" s="2349"/>
      <c r="H15" s="44"/>
      <c r="I15" s="2350"/>
      <c r="J15" s="2351"/>
      <c r="K15" s="2363"/>
      <c r="L15" s="2363"/>
      <c r="M15" s="2363"/>
      <c r="N15" s="2364"/>
      <c r="O15" s="45"/>
      <c r="P15" s="46"/>
    </row>
    <row r="16" spans="1:16" x14ac:dyDescent="0.4">
      <c r="A16" s="63" t="s">
        <v>46</v>
      </c>
      <c r="B16" s="2347"/>
      <c r="C16" s="2347"/>
      <c r="D16" s="2347"/>
      <c r="E16" s="2348"/>
      <c r="F16" s="2349"/>
      <c r="G16" s="2349"/>
      <c r="H16" s="44"/>
      <c r="I16" s="2350"/>
      <c r="J16" s="2351"/>
      <c r="K16" s="2374"/>
      <c r="L16" s="2374"/>
      <c r="M16" s="2374"/>
      <c r="N16" s="2375"/>
      <c r="O16" s="47"/>
      <c r="P16" s="48"/>
    </row>
    <row r="17" spans="1:16" x14ac:dyDescent="0.4">
      <c r="A17" s="63" t="s">
        <v>47</v>
      </c>
      <c r="B17" s="2347"/>
      <c r="C17" s="2347"/>
      <c r="D17" s="2347"/>
      <c r="E17" s="2348"/>
      <c r="F17" s="2349"/>
      <c r="G17" s="2349"/>
      <c r="H17" s="44"/>
      <c r="I17" s="2350"/>
      <c r="J17" s="2351"/>
      <c r="K17" s="2374"/>
      <c r="L17" s="2374"/>
      <c r="M17" s="2374"/>
      <c r="N17" s="2375"/>
      <c r="O17" s="47"/>
      <c r="P17" s="48"/>
    </row>
    <row r="18" spans="1:16" ht="15.4" thickBot="1" x14ac:dyDescent="0.45">
      <c r="A18" s="63" t="s">
        <v>48</v>
      </c>
      <c r="B18" s="2365"/>
      <c r="C18" s="2366"/>
      <c r="D18" s="2366"/>
      <c r="E18" s="2367"/>
      <c r="F18" s="2368"/>
      <c r="G18" s="2368"/>
      <c r="H18" s="49"/>
      <c r="I18" s="2369"/>
      <c r="J18" s="2370"/>
      <c r="K18" s="2371"/>
      <c r="L18" s="2371"/>
      <c r="M18" s="2371"/>
      <c r="N18" s="2372"/>
      <c r="O18" s="50"/>
      <c r="P18" s="51"/>
    </row>
    <row r="19" spans="1:16" ht="15.4" thickBot="1" x14ac:dyDescent="0.45">
      <c r="A19" s="63">
        <v>2</v>
      </c>
      <c r="B19" s="201" t="s">
        <v>49</v>
      </c>
      <c r="C19" s="37"/>
      <c r="D19" s="38"/>
      <c r="E19" s="38"/>
      <c r="F19" s="38"/>
      <c r="G19" s="38"/>
      <c r="H19" s="199">
        <f>SUM(H10:H18)</f>
        <v>1</v>
      </c>
      <c r="I19" s="2250" t="e">
        <f ca="1">IF(AND(_OK?="OK!",_OK_KV?="OK_KV!"),SUM(I10:J18),Projekt!G405)</f>
        <v>#VALUE!</v>
      </c>
      <c r="J19" s="2251"/>
      <c r="K19" s="2373" t="s">
        <v>234</v>
      </c>
      <c r="L19" s="2373"/>
      <c r="M19" s="2373"/>
      <c r="N19" s="2373"/>
      <c r="O19" s="2373"/>
      <c r="P19" s="33">
        <f>Projekt!H425</f>
        <v>1</v>
      </c>
    </row>
    <row r="20" spans="1:16" x14ac:dyDescent="0.4">
      <c r="A20" s="63"/>
      <c r="B20" s="2244"/>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2376"/>
      <c r="I21" s="2376"/>
      <c r="J21" s="2376"/>
      <c r="K21" s="2376"/>
      <c r="L21" s="2376"/>
      <c r="M21" s="2376"/>
      <c r="N21" s="2377"/>
      <c r="O21" s="2432" t="e">
        <f ca="1">I19/H19</f>
        <v>#VALUE!</v>
      </c>
      <c r="P21" s="2433"/>
    </row>
    <row r="22" spans="1:16" ht="15.4" thickBot="1" x14ac:dyDescent="0.45">
      <c r="A22" s="63">
        <v>4</v>
      </c>
      <c r="B22" s="2228" t="s">
        <v>50</v>
      </c>
      <c r="C22" s="2229"/>
      <c r="D22" s="2229"/>
      <c r="E22" s="2229"/>
      <c r="F22" s="2229"/>
      <c r="G22" s="2229"/>
      <c r="H22" s="2378" t="s">
        <v>51</v>
      </c>
      <c r="I22" s="2378"/>
      <c r="J22" s="2379"/>
      <c r="K22" s="2426" t="e">
        <f ca="1">Projekt!G417</f>
        <v>#VALUE!</v>
      </c>
      <c r="L22" s="2427"/>
      <c r="M22" s="2380"/>
      <c r="N22" s="2381"/>
      <c r="O22" s="2430" t="e">
        <f ca="1">K22*O21</f>
        <v>#VALUE!</v>
      </c>
      <c r="P22" s="2431"/>
    </row>
    <row r="23" spans="1:16" x14ac:dyDescent="0.4">
      <c r="A23" s="63">
        <v>5</v>
      </c>
      <c r="B23" s="2226" t="s">
        <v>233</v>
      </c>
      <c r="C23" s="2227"/>
      <c r="D23" s="2227"/>
      <c r="E23" s="2227"/>
      <c r="F23" s="2227"/>
      <c r="G23" s="2227"/>
      <c r="H23" s="2382" t="s">
        <v>284</v>
      </c>
      <c r="I23" s="2146"/>
      <c r="J23" s="2146"/>
      <c r="K23" s="2146"/>
      <c r="L23" s="2146"/>
      <c r="M23" s="2146"/>
      <c r="N23" s="282"/>
      <c r="O23" s="2420" t="e">
        <f ca="1">SUM(O21:O22)</f>
        <v>#VALUE!</v>
      </c>
      <c r="P23" s="2421"/>
    </row>
    <row r="24" spans="1:16" x14ac:dyDescent="0.4">
      <c r="A24" s="63">
        <v>6</v>
      </c>
      <c r="B24" s="2233" t="s">
        <v>139</v>
      </c>
      <c r="C24" s="2233"/>
      <c r="D24" s="2233"/>
      <c r="E24" s="2233"/>
      <c r="F24" s="2233"/>
      <c r="G24" s="2233"/>
      <c r="H24" s="2224" t="s">
        <v>106</v>
      </c>
      <c r="I24" s="2224"/>
      <c r="J24" s="2225"/>
      <c r="K24" s="2428" t="e">
        <f ca="1">Projekt!H417</f>
        <v>#VALUE!</v>
      </c>
      <c r="L24" s="2429"/>
      <c r="M24" s="2160"/>
      <c r="N24" s="2161"/>
      <c r="O24" s="2358" t="e">
        <f ca="1">K24*O23</f>
        <v>#VALUE!</v>
      </c>
      <c r="P24" s="2359"/>
    </row>
    <row r="25" spans="1:16" x14ac:dyDescent="0.4">
      <c r="A25" s="63">
        <v>7</v>
      </c>
      <c r="B25" s="2233" t="s">
        <v>199</v>
      </c>
      <c r="C25" s="2233"/>
      <c r="D25" s="2233"/>
      <c r="E25" s="2233"/>
      <c r="F25" s="2233"/>
      <c r="G25" s="2233"/>
      <c r="H25" s="2224" t="s">
        <v>106</v>
      </c>
      <c r="I25" s="2224"/>
      <c r="J25" s="2225"/>
      <c r="K25" s="2424">
        <f>Projekt!H424</f>
        <v>0</v>
      </c>
      <c r="L25" s="2425"/>
      <c r="M25" s="2160"/>
      <c r="N25" s="2161"/>
      <c r="O25" s="2358" t="e">
        <f ca="1">K25*O23</f>
        <v>#VALUE!</v>
      </c>
      <c r="P25" s="2359"/>
    </row>
    <row r="26" spans="1:16" x14ac:dyDescent="0.4">
      <c r="A26" s="63">
        <v>8</v>
      </c>
      <c r="B26" s="2233" t="s">
        <v>80</v>
      </c>
      <c r="C26" s="2233"/>
      <c r="D26" s="2233"/>
      <c r="E26" s="2233"/>
      <c r="F26" s="2233"/>
      <c r="G26" s="2233"/>
      <c r="H26" s="2224" t="s">
        <v>106</v>
      </c>
      <c r="I26" s="2224"/>
      <c r="J26" s="2225"/>
      <c r="K26" s="2424">
        <f>Projekt!H436</f>
        <v>0</v>
      </c>
      <c r="L26" s="2425"/>
      <c r="M26" s="2160"/>
      <c r="N26" s="2161"/>
      <c r="O26" s="2358" t="e">
        <f ca="1">K26*O23</f>
        <v>#VALUE!</v>
      </c>
      <c r="P26" s="2359"/>
    </row>
    <row r="27" spans="1:16" ht="15.4" thickBot="1" x14ac:dyDescent="0.45">
      <c r="A27" s="63">
        <v>9</v>
      </c>
      <c r="B27" s="2216" t="s">
        <v>132</v>
      </c>
      <c r="C27" s="2217"/>
      <c r="D27" s="2217"/>
      <c r="E27" s="2217"/>
      <c r="F27" s="2217"/>
      <c r="G27" s="2217"/>
      <c r="H27" s="2217"/>
      <c r="I27" s="2217"/>
      <c r="J27" s="2217"/>
      <c r="K27" s="2217"/>
      <c r="L27" s="2217"/>
      <c r="M27" s="2217"/>
      <c r="N27" s="2218"/>
      <c r="O27" s="2399">
        <f ca="1">Projekt!H437</f>
        <v>1.21</v>
      </c>
      <c r="P27" s="2400"/>
    </row>
    <row r="28" spans="1:16" x14ac:dyDescent="0.4">
      <c r="A28" s="63">
        <v>10</v>
      </c>
      <c r="B28" s="2226" t="s">
        <v>52</v>
      </c>
      <c r="C28" s="2227"/>
      <c r="D28" s="2227"/>
      <c r="E28" s="2227"/>
      <c r="F28" s="2227"/>
      <c r="G28" s="2227"/>
      <c r="H28" s="2382" t="s">
        <v>287</v>
      </c>
      <c r="I28" s="2146"/>
      <c r="J28" s="2146"/>
      <c r="K28" s="2146"/>
      <c r="L28" s="2146"/>
      <c r="M28" s="2146"/>
      <c r="N28" s="281"/>
      <c r="O28" s="2420" t="e">
        <f ca="1">SUM(O23:P27)</f>
        <v>#VALUE!</v>
      </c>
      <c r="P28" s="2421"/>
    </row>
    <row r="29" spans="1:16" x14ac:dyDescent="0.4">
      <c r="A29" s="63">
        <v>11</v>
      </c>
      <c r="B29" s="2322" t="s">
        <v>133</v>
      </c>
      <c r="C29" s="2322"/>
      <c r="D29" s="2322"/>
      <c r="E29" s="2322"/>
      <c r="F29" s="2322"/>
      <c r="G29" s="2322"/>
      <c r="H29" s="2322"/>
      <c r="I29" s="2322"/>
      <c r="J29" s="2322"/>
      <c r="K29" s="2322"/>
      <c r="L29" s="2322"/>
      <c r="M29" s="2322"/>
      <c r="N29" s="2322"/>
      <c r="O29" s="2358">
        <f ca="1">Projekt!H438</f>
        <v>0.94</v>
      </c>
      <c r="P29" s="2359"/>
    </row>
    <row r="30" spans="1:16" x14ac:dyDescent="0.4">
      <c r="A30" s="63">
        <v>12</v>
      </c>
      <c r="B30" s="2233" t="s">
        <v>53</v>
      </c>
      <c r="C30" s="2233"/>
      <c r="D30" s="2233"/>
      <c r="E30" s="2233"/>
      <c r="F30" s="2233"/>
      <c r="G30" s="2233"/>
      <c r="H30" s="2224" t="s">
        <v>54</v>
      </c>
      <c r="I30" s="2224"/>
      <c r="J30" s="2225"/>
      <c r="K30" s="2424">
        <f ca="1">Projekt!H439</f>
        <v>0.28110000000000002</v>
      </c>
      <c r="L30" s="2425"/>
      <c r="M30" s="2160"/>
      <c r="N30" s="2161"/>
      <c r="O30" s="2358" t="e">
        <f ca="1">K30*O28</f>
        <v>#VALUE!</v>
      </c>
      <c r="P30" s="2359"/>
    </row>
    <row r="31" spans="1:16" x14ac:dyDescent="0.4">
      <c r="A31" s="63">
        <v>13</v>
      </c>
      <c r="B31" s="2233" t="s">
        <v>55</v>
      </c>
      <c r="C31" s="2233"/>
      <c r="D31" s="2233"/>
      <c r="E31" s="2233"/>
      <c r="F31" s="2233"/>
      <c r="G31" s="2233"/>
      <c r="H31" s="2224" t="s">
        <v>54</v>
      </c>
      <c r="I31" s="2224"/>
      <c r="J31" s="2225"/>
      <c r="K31" s="2424">
        <f ca="1">Projekt!H440</f>
        <v>0.82350000000000001</v>
      </c>
      <c r="L31" s="2425"/>
      <c r="M31" s="2160"/>
      <c r="N31" s="2161"/>
      <c r="O31" s="2358" t="e">
        <f ca="1">K31*O28</f>
        <v>#VALUE!</v>
      </c>
      <c r="P31" s="2359"/>
    </row>
    <row r="32" spans="1:16" ht="15.4" thickBot="1" x14ac:dyDescent="0.45">
      <c r="A32" s="63">
        <v>14</v>
      </c>
      <c r="B32" s="2311" t="s">
        <v>56</v>
      </c>
      <c r="C32" s="2312"/>
      <c r="D32" s="2312"/>
      <c r="E32" s="2312"/>
      <c r="F32" s="2312"/>
      <c r="G32" s="2312"/>
      <c r="H32" s="2313" t="s">
        <v>54</v>
      </c>
      <c r="I32" s="2313"/>
      <c r="J32" s="2314"/>
      <c r="K32" s="2426">
        <f ca="1">Projekt!H441</f>
        <v>0</v>
      </c>
      <c r="L32" s="2427"/>
      <c r="M32" s="2162"/>
      <c r="N32" s="2163"/>
      <c r="O32" s="2399" t="e">
        <f ca="1">K32*O28</f>
        <v>#VALUE!</v>
      </c>
      <c r="P32" s="2400"/>
    </row>
    <row r="33" spans="1:16" x14ac:dyDescent="0.4">
      <c r="A33" s="63">
        <v>15</v>
      </c>
      <c r="B33" s="2226" t="s">
        <v>57</v>
      </c>
      <c r="C33" s="2227"/>
      <c r="D33" s="2227"/>
      <c r="E33" s="2227"/>
      <c r="F33" s="2227"/>
      <c r="G33" s="2227"/>
      <c r="H33" s="2382" t="s">
        <v>288</v>
      </c>
      <c r="I33" s="2146"/>
      <c r="J33" s="2146"/>
      <c r="K33" s="2146"/>
      <c r="L33" s="2146"/>
      <c r="M33" s="2146"/>
      <c r="N33" s="2146"/>
      <c r="O33" s="2420" t="e">
        <f ca="1">SUM(O28:P32)</f>
        <v>#VALUE!</v>
      </c>
      <c r="P33" s="2421"/>
    </row>
    <row r="34" spans="1:16" x14ac:dyDescent="0.4">
      <c r="A34" s="63">
        <v>16</v>
      </c>
      <c r="B34" s="2177" t="s">
        <v>58</v>
      </c>
      <c r="C34" s="2177"/>
      <c r="D34" s="2177"/>
      <c r="E34" s="2177"/>
      <c r="F34" s="2177"/>
      <c r="G34" s="2177"/>
      <c r="H34" s="2324" t="s">
        <v>59</v>
      </c>
      <c r="I34" s="2324"/>
      <c r="J34" s="2325"/>
      <c r="K34" s="2158">
        <f ca="1">Projekt!H442</f>
        <v>0.18554999999999999</v>
      </c>
      <c r="L34" s="2159"/>
      <c r="M34" s="2287"/>
      <c r="N34" s="2288"/>
      <c r="O34" s="2422" t="e">
        <f ca="1">K34*O33</f>
        <v>#VALUE!</v>
      </c>
      <c r="P34" s="2423"/>
    </row>
    <row r="35" spans="1:16" ht="24.4" customHeight="1" x14ac:dyDescent="0.4">
      <c r="A35" s="63">
        <v>17</v>
      </c>
      <c r="B35" s="2203" t="s">
        <v>110</v>
      </c>
      <c r="C35" s="2204"/>
      <c r="D35" s="2204"/>
      <c r="E35" s="2204"/>
      <c r="F35" s="2204"/>
      <c r="G35" s="2204"/>
      <c r="H35" s="2204"/>
      <c r="I35" s="2204"/>
      <c r="J35" s="2205"/>
      <c r="K35" s="2152" t="s">
        <v>134</v>
      </c>
      <c r="L35" s="2153"/>
      <c r="M35" s="2152" t="str">
        <f>IF(Projekt!F272="Nein","Umlage in €/Std","Umlage in €/Std bzw U% x B15")</f>
        <v>Umlage in €/Std</v>
      </c>
      <c r="N35" s="2153"/>
      <c r="O35" s="2389"/>
      <c r="P35" s="2390"/>
    </row>
    <row r="36" spans="1:16" x14ac:dyDescent="0.4">
      <c r="A36" s="141" t="s">
        <v>60</v>
      </c>
      <c r="B36" s="2206">
        <f>Projekt!A445</f>
        <v>0</v>
      </c>
      <c r="C36" s="2207"/>
      <c r="D36" s="2207"/>
      <c r="E36" s="2207"/>
      <c r="F36" s="2207"/>
      <c r="G36" s="2207"/>
      <c r="H36" s="2207"/>
      <c r="I36" s="2207"/>
      <c r="J36" s="2208"/>
      <c r="K36" s="2401" t="str">
        <f>IF(Projekt!G445=0,"",Projekt!G445)</f>
        <v/>
      </c>
      <c r="L36" s="2401"/>
      <c r="M36" s="2383" t="str">
        <f ca="1">IFERROR(IF(AND(Projekt!F445=0,Projekt!G445=0),"",IF(Projekt!G445&gt;0,Projekt!G445*O$33,IF(Projekt!F445=0,"",Projekt!F445))),"")</f>
        <v/>
      </c>
      <c r="N36" s="2384"/>
      <c r="O36" s="2391"/>
      <c r="P36" s="2392"/>
    </row>
    <row r="37" spans="1:16" x14ac:dyDescent="0.4">
      <c r="A37" s="141" t="s">
        <v>61</v>
      </c>
      <c r="B37" s="2185">
        <f>Projekt!A446</f>
        <v>0</v>
      </c>
      <c r="C37" s="2186"/>
      <c r="D37" s="2186"/>
      <c r="E37" s="2186"/>
      <c r="F37" s="2186"/>
      <c r="G37" s="2186"/>
      <c r="H37" s="2186"/>
      <c r="I37" s="2186"/>
      <c r="J37" s="2187"/>
      <c r="K37" s="2395" t="str">
        <f>IF(Projekt!G446=0,"",Projekt!G446)</f>
        <v/>
      </c>
      <c r="L37" s="2395"/>
      <c r="M37" s="2358" t="str">
        <f ca="1">IFERROR(IF(AND(Projekt!F446=0,Projekt!G446=0),"",IF(Projekt!G446&gt;0,Projekt!G446*O$33,IF(Projekt!F446=0,"",Projekt!F446))),"")</f>
        <v/>
      </c>
      <c r="N37" s="2359"/>
      <c r="O37" s="2391"/>
      <c r="P37" s="2392"/>
    </row>
    <row r="38" spans="1:16" ht="15.4" thickBot="1" x14ac:dyDescent="0.45">
      <c r="A38" s="141" t="s">
        <v>62</v>
      </c>
      <c r="B38" s="2209">
        <f>Projekt!A447</f>
        <v>0</v>
      </c>
      <c r="C38" s="2210"/>
      <c r="D38" s="2210"/>
      <c r="E38" s="2210"/>
      <c r="F38" s="2210"/>
      <c r="G38" s="2210"/>
      <c r="H38" s="2210"/>
      <c r="I38" s="2210"/>
      <c r="J38" s="2211"/>
      <c r="K38" s="2397" t="str">
        <f>IF(Projekt!G447=0,"",Projekt!G447)</f>
        <v/>
      </c>
      <c r="L38" s="2397"/>
      <c r="M38" s="2399" t="str">
        <f ca="1">IFERROR(IF(AND(Projekt!F447=0,Projekt!G447=0),"",IF(Projekt!G447&gt;0,Projekt!G447*O$33,IF(Projekt!F447=0,"",Projekt!F447))),"")</f>
        <v/>
      </c>
      <c r="N38" s="2400"/>
      <c r="O38" s="2393"/>
      <c r="P38" s="2394"/>
    </row>
    <row r="39" spans="1:16" ht="15.4" thickBot="1" x14ac:dyDescent="0.45">
      <c r="A39" s="64">
        <v>18</v>
      </c>
      <c r="B39" s="52" t="s">
        <v>293</v>
      </c>
      <c r="C39" s="4"/>
      <c r="D39" s="4"/>
      <c r="E39" s="4"/>
      <c r="F39" s="53"/>
      <c r="G39" s="53"/>
      <c r="H39" s="54"/>
      <c r="I39" s="2313" t="s">
        <v>295</v>
      </c>
      <c r="J39" s="2313"/>
      <c r="K39" s="2313"/>
      <c r="L39" s="2314"/>
      <c r="M39" s="2411" t="str">
        <f ca="1">IF(SUM(M36:N38)&gt;0,SUM(M36:N38),"")</f>
        <v/>
      </c>
      <c r="N39" s="2412"/>
      <c r="O39" s="2413" t="e">
        <f ca="1">O33+O34</f>
        <v>#VALUE!</v>
      </c>
      <c r="P39" s="2412"/>
    </row>
    <row r="40" spans="1:16" ht="27.85" customHeight="1" thickBot="1" x14ac:dyDescent="0.45">
      <c r="A40" s="64">
        <v>19</v>
      </c>
      <c r="B40" s="2262" t="s">
        <v>235</v>
      </c>
      <c r="C40" s="2263"/>
      <c r="D40" s="2263"/>
      <c r="E40" s="2263"/>
      <c r="F40" s="2263"/>
      <c r="G40" s="2263"/>
      <c r="H40" s="2263"/>
      <c r="I40" s="2263"/>
      <c r="J40" s="2307"/>
      <c r="K40" s="2309" t="s">
        <v>289</v>
      </c>
      <c r="L40" s="2310"/>
      <c r="M40" s="474"/>
      <c r="N40" s="2385" t="e">
        <f ca="1">SUM(M39:P39)</f>
        <v>#VALUE!</v>
      </c>
      <c r="O40" s="2385"/>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08" t="s">
        <v>65</v>
      </c>
      <c r="C42" s="2409"/>
      <c r="D42" s="2409"/>
      <c r="E42" s="2409"/>
      <c r="F42" s="2409"/>
      <c r="G42" s="2409"/>
      <c r="H42" s="2410"/>
      <c r="I42" s="2188" t="s">
        <v>63</v>
      </c>
      <c r="J42" s="2189"/>
      <c r="K42" s="2188" t="s">
        <v>64</v>
      </c>
      <c r="L42" s="2189"/>
      <c r="M42" s="2386"/>
      <c r="N42" s="2387"/>
      <c r="O42" s="2387"/>
      <c r="P42" s="2388"/>
    </row>
    <row r="43" spans="1:16" ht="15.4" thickBot="1" x14ac:dyDescent="0.45">
      <c r="A43" s="64">
        <v>20</v>
      </c>
      <c r="B43" s="2318"/>
      <c r="C43" s="2319"/>
      <c r="D43" s="2319"/>
      <c r="E43" s="2319"/>
      <c r="F43" s="2319"/>
      <c r="G43" s="2319"/>
      <c r="H43" s="2320"/>
      <c r="I43" s="2418" t="str">
        <f ca="1">IF(M39="","",Projekt!G267)</f>
        <v/>
      </c>
      <c r="J43" s="2419"/>
      <c r="K43" s="2418">
        <f>Projekt!E450</f>
        <v>0.25802999999999998</v>
      </c>
      <c r="L43" s="2419"/>
      <c r="M43" s="2414" t="str">
        <f ca="1">IFERROR(I43*M39,"")</f>
        <v/>
      </c>
      <c r="N43" s="2415"/>
      <c r="O43" s="2414" t="e">
        <f ca="1">K43*O39</f>
        <v>#VALUE!</v>
      </c>
      <c r="P43" s="2415"/>
    </row>
    <row r="44" spans="1:16" ht="15.4" thickBot="1" x14ac:dyDescent="0.45">
      <c r="A44" s="64">
        <v>21</v>
      </c>
      <c r="B44" s="2404" t="s">
        <v>292</v>
      </c>
      <c r="C44" s="2405"/>
      <c r="D44" s="2405"/>
      <c r="E44" s="2405"/>
      <c r="F44" s="2405"/>
      <c r="G44" s="2405"/>
      <c r="H44" s="2405"/>
      <c r="I44" s="2258" t="s">
        <v>291</v>
      </c>
      <c r="J44" s="2258"/>
      <c r="K44" s="2258"/>
      <c r="L44" s="2259"/>
      <c r="M44" s="2416">
        <f ca="1">IFERROR(SUM(M39,M43),"")</f>
        <v>0</v>
      </c>
      <c r="N44" s="2417"/>
      <c r="O44" s="2416" t="e">
        <f ca="1">SUM(O39:P43)</f>
        <v>#VALUE!</v>
      </c>
      <c r="P44" s="2417"/>
    </row>
    <row r="45" spans="1:16" ht="27.85" customHeight="1" thickBot="1" x14ac:dyDescent="0.45">
      <c r="A45" s="65">
        <v>22</v>
      </c>
      <c r="B45" s="2262" t="s">
        <v>238</v>
      </c>
      <c r="C45" s="2263"/>
      <c r="D45" s="2263"/>
      <c r="E45" s="2263"/>
      <c r="F45" s="2263"/>
      <c r="G45" s="2263"/>
      <c r="H45" s="2263"/>
      <c r="I45" s="2263"/>
      <c r="J45" s="2307"/>
      <c r="K45" s="2309" t="s">
        <v>290</v>
      </c>
      <c r="L45" s="2310"/>
      <c r="M45" s="474"/>
      <c r="N45" s="2385" t="e">
        <f ca="1">SUM(M44:P44)</f>
        <v>#VALUE!</v>
      </c>
      <c r="O45" s="2385"/>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4" t="str">
        <f>"Lizenziert für:
"&amp;'Lizenz u lies mich'!B32</f>
        <v>Lizenziert für:
Vers. 3.0</v>
      </c>
      <c r="B47" s="2145"/>
      <c r="C47" s="2145"/>
      <c r="D47" s="2305" t="str">
        <f ca="1">' K3 PP'!D47</f>
        <v>Keine gültige Lizenz! Nur als Testversion nutzbar!</v>
      </c>
      <c r="E47" s="2305"/>
      <c r="F47" s="2305"/>
      <c r="G47" s="2305"/>
      <c r="H47" s="2306"/>
      <c r="I47" s="2304"/>
      <c r="J47" s="2304"/>
      <c r="K47" s="2304"/>
      <c r="L47" s="2304"/>
      <c r="M47" s="2304"/>
      <c r="N47" s="2301" t="s">
        <v>598</v>
      </c>
      <c r="O47" s="2302"/>
      <c r="P47" s="2303"/>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34" priority="12">
      <formula>$J$5="X"</formula>
    </cfRule>
  </conditionalFormatting>
  <conditionalFormatting sqref="F6:I6">
    <cfRule type="expression" dxfId="33" priority="11">
      <formula>$J$6="X"</formula>
    </cfRule>
  </conditionalFormatting>
  <conditionalFormatting sqref="B5:D5">
    <cfRule type="expression" dxfId="32" priority="10">
      <formula>$E$5="X"</formula>
    </cfRule>
  </conditionalFormatting>
  <conditionalFormatting sqref="B6:D6">
    <cfRule type="expression" dxfId="31" priority="9">
      <formula>$E$6="X"</formula>
    </cfRule>
  </conditionalFormatting>
  <conditionalFormatting sqref="N45:O45 N40:O40 K3:P5">
    <cfRule type="expression" dxfId="30" priority="8">
      <formula>OR(_OK?&lt;&gt;"OK!",_OK_KV?&lt;&gt;"OK_KV!")</formula>
    </cfRule>
  </conditionalFormatting>
  <conditionalFormatting sqref="B36:J38">
    <cfRule type="expression" dxfId="29" priority="7">
      <formula>$B36=0</formula>
    </cfRule>
  </conditionalFormatting>
  <conditionalFormatting sqref="I19:J19 O21:P21 D47:H47">
    <cfRule type="expression" dxfId="28" priority="5">
      <formula>_OK?&lt;&gt;"OK!"</formula>
    </cfRule>
  </conditionalFormatting>
  <conditionalFormatting sqref="N40:O40 N45:O45">
    <cfRule type="expression" dxfId="27"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Regie03"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9C3AE7C3-49BA-4ECF-AD3F-730C845C99E7}">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2EF5AA9D-97F4-4312-8F86-A94C40ACD3E3}">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6B7101EA-6330-480F-8C8C-513A41220C67}">
            <xm:f>Projekt!$F$272="Nein"</xm:f>
            <x14:dxf>
              <font>
                <color theme="0"/>
              </font>
              <border>
                <left style="thin">
                  <color theme="0"/>
                </left>
                <vertical/>
                <horizontal/>
              </border>
            </x14:dxf>
          </x14:cfRule>
          <xm:sqref>K35:L38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3D19-CC65-4183-A196-046741A7843C}">
  <sheetPr>
    <tabColor theme="0" tint="-0.499984740745262"/>
  </sheetPr>
  <dimension ref="A1:P47"/>
  <sheetViews>
    <sheetView showGridLines="0" topLeftCell="A25"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0" t="s">
        <v>30</v>
      </c>
      <c r="C1" s="2180"/>
      <c r="D1" s="2180"/>
      <c r="E1" s="2180"/>
      <c r="F1" s="206" t="s">
        <v>294</v>
      </c>
      <c r="G1" s="2342" t="str">
        <f>Projekt!D10</f>
        <v xml:space="preserve">Musterbaustelle </v>
      </c>
      <c r="H1" s="2342"/>
      <c r="I1" s="2342"/>
      <c r="J1" s="2342"/>
      <c r="K1" s="2342"/>
      <c r="L1" s="2342"/>
      <c r="M1" s="2342"/>
      <c r="N1" s="2342"/>
      <c r="O1" s="2342"/>
      <c r="P1" s="2343"/>
    </row>
    <row r="2" spans="1:16" x14ac:dyDescent="0.4">
      <c r="A2" s="2326"/>
      <c r="B2" s="2264" t="s">
        <v>69</v>
      </c>
      <c r="C2" s="2265"/>
      <c r="D2" s="2265"/>
      <c r="E2" s="2265"/>
      <c r="F2" s="2328" t="str">
        <f>Projekt!D454</f>
        <v>Regie Hilfsarbeiter Überstunde</v>
      </c>
      <c r="G2" s="2328"/>
      <c r="H2" s="2328"/>
      <c r="I2" s="2328"/>
      <c r="J2" s="2329"/>
      <c r="K2" s="2232" t="s">
        <v>32</v>
      </c>
      <c r="L2" s="2233"/>
      <c r="M2" s="2233"/>
      <c r="N2" s="2233"/>
      <c r="O2" s="2233"/>
      <c r="P2" s="2298"/>
    </row>
    <row r="3" spans="1:16" x14ac:dyDescent="0.4">
      <c r="A3" s="2327"/>
      <c r="B3" s="2266"/>
      <c r="C3" s="2267"/>
      <c r="D3" s="2267"/>
      <c r="E3" s="2267"/>
      <c r="F3" s="2330"/>
      <c r="G3" s="2330"/>
      <c r="H3" s="2330"/>
      <c r="I3" s="2330"/>
      <c r="J3" s="2331"/>
      <c r="K3" s="2185" t="str">
        <f ca="1">Projekt!D7</f>
        <v>Nur als Testversion nutzbar!</v>
      </c>
      <c r="L3" s="2186"/>
      <c r="M3" s="2186"/>
      <c r="N3" s="2186"/>
      <c r="O3" s="2186"/>
      <c r="P3" s="2187"/>
    </row>
    <row r="4" spans="1:16" x14ac:dyDescent="0.4">
      <c r="A4" s="2327"/>
      <c r="B4" s="521" t="s">
        <v>252</v>
      </c>
      <c r="C4" s="2332" t="str">
        <f>Projekt!B14</f>
        <v>Musterbaustelle</v>
      </c>
      <c r="D4" s="2332"/>
      <c r="E4" s="2333"/>
      <c r="F4" s="521" t="s">
        <v>253</v>
      </c>
      <c r="G4" s="2334" t="str">
        <f>Projekt!B15</f>
        <v>xxx</v>
      </c>
      <c r="H4" s="2334"/>
      <c r="I4" s="2334"/>
      <c r="J4" s="2335"/>
      <c r="K4" s="2282" t="str">
        <f>IF(Projekt!D8&lt;&gt;0,Projekt!D8,"")</f>
        <v>Musterstraße</v>
      </c>
      <c r="L4" s="2283"/>
      <c r="M4" s="2283"/>
      <c r="N4" s="2283"/>
      <c r="O4" s="2283"/>
      <c r="P4" s="2284"/>
    </row>
    <row r="5" spans="1:16" x14ac:dyDescent="0.4">
      <c r="A5" s="2327"/>
      <c r="B5" s="2285" t="s">
        <v>33</v>
      </c>
      <c r="C5" s="2286"/>
      <c r="D5" s="2286"/>
      <c r="E5" s="9" t="str">
        <f>IF(Projekt!C$18=Projekt!F$18,"X","-")</f>
        <v>X</v>
      </c>
      <c r="F5" s="2215" t="s">
        <v>2</v>
      </c>
      <c r="G5" s="2215"/>
      <c r="H5" s="2215"/>
      <c r="I5" s="2215"/>
      <c r="J5" s="218" t="str">
        <f>IF(Projekt!C$19=Projekt!F$19,"X","-")</f>
        <v>X</v>
      </c>
      <c r="K5" s="2282" t="str">
        <f>IF(Projekt!D9&lt;&gt;0,Projekt!D9,"")</f>
        <v/>
      </c>
      <c r="L5" s="2283"/>
      <c r="M5" s="2283"/>
      <c r="N5" s="2283"/>
      <c r="O5" s="2283"/>
      <c r="P5" s="2284"/>
    </row>
    <row r="6" spans="1:16" x14ac:dyDescent="0.4">
      <c r="A6" s="2327"/>
      <c r="B6" s="2274" t="s">
        <v>34</v>
      </c>
      <c r="C6" s="2275"/>
      <c r="D6" s="2275"/>
      <c r="E6" s="219" t="str">
        <f>IF(Projekt!C$18=Projekt!G$18,"X","-")</f>
        <v>-</v>
      </c>
      <c r="F6" s="2232" t="s">
        <v>3</v>
      </c>
      <c r="G6" s="2233"/>
      <c r="H6" s="2233"/>
      <c r="I6" s="2233"/>
      <c r="J6" s="10" t="str">
        <f>IF(Projekt!C$19=Projekt!G$19,"X","-")</f>
        <v>-</v>
      </c>
      <c r="K6" s="2215" t="s">
        <v>1</v>
      </c>
      <c r="L6" s="2215"/>
      <c r="M6" s="2340">
        <f>Projekt!F14</f>
        <v>45047</v>
      </c>
      <c r="N6" s="2340"/>
      <c r="O6" s="2340"/>
      <c r="P6" s="2341"/>
    </row>
    <row r="7" spans="1:16" x14ac:dyDescent="0.4">
      <c r="A7" s="2327"/>
      <c r="B7" s="2243" t="s">
        <v>176</v>
      </c>
      <c r="C7" s="2244"/>
      <c r="D7" s="2244"/>
      <c r="E7" s="2244"/>
      <c r="F7" s="2336" t="s">
        <v>35</v>
      </c>
      <c r="G7" s="2337"/>
      <c r="H7" s="2337"/>
      <c r="I7" s="2337"/>
      <c r="J7" s="217" t="s">
        <v>9</v>
      </c>
      <c r="K7" s="2280" t="s">
        <v>223</v>
      </c>
      <c r="L7" s="2280"/>
      <c r="M7" s="2280"/>
      <c r="N7" s="2280"/>
      <c r="O7" s="2280"/>
      <c r="P7" s="2281"/>
    </row>
    <row r="8" spans="1:16" ht="15.4" thickBot="1" x14ac:dyDescent="0.45">
      <c r="A8" s="2327"/>
      <c r="B8" s="2344" t="str">
        <f ca="1">Stammdaten!B3</f>
        <v>KollV Hafner, Platten- und Fliesenleger</v>
      </c>
      <c r="C8" s="2345"/>
      <c r="D8" s="2345"/>
      <c r="E8" s="2345"/>
      <c r="F8" s="2345"/>
      <c r="G8" s="2345"/>
      <c r="H8" s="2345"/>
      <c r="I8" s="2345"/>
      <c r="J8" s="2345"/>
      <c r="K8" s="2345"/>
      <c r="L8" s="2346"/>
      <c r="M8" s="2299" t="s">
        <v>36</v>
      </c>
      <c r="N8" s="2300"/>
      <c r="O8" s="2338">
        <f ca="1">Stammdaten!B4</f>
        <v>45047</v>
      </c>
      <c r="P8" s="2339"/>
    </row>
    <row r="9" spans="1:16" x14ac:dyDescent="0.4">
      <c r="A9" s="142">
        <v>1</v>
      </c>
      <c r="B9" s="2287" t="s">
        <v>136</v>
      </c>
      <c r="C9" s="2288"/>
      <c r="D9" s="2288"/>
      <c r="E9" s="2289"/>
      <c r="F9" s="2254" t="s">
        <v>137</v>
      </c>
      <c r="G9" s="2255"/>
      <c r="H9" s="522" t="s">
        <v>37</v>
      </c>
      <c r="I9" s="2181" t="s">
        <v>38</v>
      </c>
      <c r="J9" s="2182"/>
      <c r="K9" s="2183" t="s">
        <v>138</v>
      </c>
      <c r="L9" s="2183"/>
      <c r="M9" s="2183"/>
      <c r="N9" s="2183"/>
      <c r="O9" s="2183"/>
      <c r="P9" s="39">
        <f ca="1">Projekt!C151</f>
        <v>39</v>
      </c>
    </row>
    <row r="10" spans="1:16" x14ac:dyDescent="0.4">
      <c r="A10" s="63" t="s">
        <v>39</v>
      </c>
      <c r="B10" s="2355" t="str">
        <f>Projekt!A457</f>
        <v>6. Hilfsarbeiter</v>
      </c>
      <c r="C10" s="2355"/>
      <c r="D10" s="2355"/>
      <c r="E10" s="2356"/>
      <c r="F10" s="2357" t="str">
        <f ca="1">IFERROR((VLOOKUP(B10,Stammdaten!A$7:D$33,4,FALSE)),"")</f>
        <v/>
      </c>
      <c r="G10" s="2357"/>
      <c r="H10" s="41">
        <f>Projekt!F457</f>
        <v>1</v>
      </c>
      <c r="I10" s="2358" t="e">
        <f ca="1">IF(PRODUCT(F10,H10)=0,"",F10*H10)</f>
        <v>#VALUE!</v>
      </c>
      <c r="J10" s="2359"/>
      <c r="K10" s="2279" t="s">
        <v>232</v>
      </c>
      <c r="L10" s="2279"/>
      <c r="M10" s="2279"/>
      <c r="N10" s="2360"/>
      <c r="O10" s="523" t="s">
        <v>40</v>
      </c>
      <c r="P10" s="8" t="s">
        <v>23</v>
      </c>
    </row>
    <row r="11" spans="1:16" x14ac:dyDescent="0.4">
      <c r="A11" s="63" t="s">
        <v>41</v>
      </c>
      <c r="B11" s="2347"/>
      <c r="C11" s="2347"/>
      <c r="D11" s="2347"/>
      <c r="E11" s="2348"/>
      <c r="F11" s="2349"/>
      <c r="G11" s="2349"/>
      <c r="H11" s="44"/>
      <c r="I11" s="2350"/>
      <c r="J11" s="2351"/>
      <c r="K11" s="2434" t="str">
        <f>IF(Projekt!F479=1,Projekt!B480,"Regiestunde")</f>
        <v>Überstunde 50%</v>
      </c>
      <c r="L11" s="2435"/>
      <c r="M11" s="2435"/>
      <c r="N11" s="2435"/>
      <c r="O11" s="388">
        <f ca="1">IF(Projekt!F479=1,Projekt!E480,"")</f>
        <v>0.5</v>
      </c>
      <c r="P11" s="389">
        <v>1</v>
      </c>
    </row>
    <row r="12" spans="1:16" x14ac:dyDescent="0.4">
      <c r="A12" s="63" t="s">
        <v>42</v>
      </c>
      <c r="B12" s="2347"/>
      <c r="C12" s="2347"/>
      <c r="D12" s="2347"/>
      <c r="E12" s="2348"/>
      <c r="F12" s="2349"/>
      <c r="G12" s="2349"/>
      <c r="H12" s="44"/>
      <c r="I12" s="2350"/>
      <c r="J12" s="2351"/>
      <c r="K12" s="2436" t="str">
        <f>IF(Projekt!F483=1,Projekt!B484,IF(Projekt!F487=1,Projekt!B488,""))</f>
        <v/>
      </c>
      <c r="L12" s="2437"/>
      <c r="M12" s="2437"/>
      <c r="N12" s="2438"/>
      <c r="O12" s="390" t="str">
        <f>IF(Projekt!F483=1,Projekt!E484,"")</f>
        <v/>
      </c>
      <c r="P12" s="391"/>
    </row>
    <row r="13" spans="1:16" x14ac:dyDescent="0.4">
      <c r="A13" s="63" t="s">
        <v>43</v>
      </c>
      <c r="B13" s="2347"/>
      <c r="C13" s="2347"/>
      <c r="D13" s="2347"/>
      <c r="E13" s="2348"/>
      <c r="F13" s="2349"/>
      <c r="G13" s="2349"/>
      <c r="H13" s="44"/>
      <c r="I13" s="2350"/>
      <c r="J13" s="2351"/>
      <c r="K13" s="2363"/>
      <c r="L13" s="2363"/>
      <c r="M13" s="2363"/>
      <c r="N13" s="2364"/>
      <c r="O13" s="45"/>
      <c r="P13" s="46"/>
    </row>
    <row r="14" spans="1:16" x14ac:dyDescent="0.4">
      <c r="A14" s="63" t="s">
        <v>44</v>
      </c>
      <c r="B14" s="2347"/>
      <c r="C14" s="2347"/>
      <c r="D14" s="2347"/>
      <c r="E14" s="2348"/>
      <c r="F14" s="2349"/>
      <c r="G14" s="2349"/>
      <c r="H14" s="44"/>
      <c r="I14" s="2350"/>
      <c r="J14" s="2351"/>
      <c r="K14" s="2363"/>
      <c r="L14" s="2363"/>
      <c r="M14" s="2363"/>
      <c r="N14" s="2364"/>
      <c r="O14" s="45"/>
      <c r="P14" s="46"/>
    </row>
    <row r="15" spans="1:16" x14ac:dyDescent="0.4">
      <c r="A15" s="63" t="s">
        <v>45</v>
      </c>
      <c r="B15" s="2347"/>
      <c r="C15" s="2347"/>
      <c r="D15" s="2347"/>
      <c r="E15" s="2348"/>
      <c r="F15" s="2349"/>
      <c r="G15" s="2349"/>
      <c r="H15" s="44"/>
      <c r="I15" s="2350"/>
      <c r="J15" s="2351"/>
      <c r="K15" s="2363"/>
      <c r="L15" s="2363"/>
      <c r="M15" s="2363"/>
      <c r="N15" s="2364"/>
      <c r="O15" s="45"/>
      <c r="P15" s="46"/>
    </row>
    <row r="16" spans="1:16" x14ac:dyDescent="0.4">
      <c r="A16" s="63" t="s">
        <v>46</v>
      </c>
      <c r="B16" s="2347"/>
      <c r="C16" s="2347"/>
      <c r="D16" s="2347"/>
      <c r="E16" s="2348"/>
      <c r="F16" s="2349"/>
      <c r="G16" s="2349"/>
      <c r="H16" s="44"/>
      <c r="I16" s="2350"/>
      <c r="J16" s="2351"/>
      <c r="K16" s="2374"/>
      <c r="L16" s="2374"/>
      <c r="M16" s="2374"/>
      <c r="N16" s="2375"/>
      <c r="O16" s="47"/>
      <c r="P16" s="48"/>
    </row>
    <row r="17" spans="1:16" x14ac:dyDescent="0.4">
      <c r="A17" s="63" t="s">
        <v>47</v>
      </c>
      <c r="B17" s="2347"/>
      <c r="C17" s="2347"/>
      <c r="D17" s="2347"/>
      <c r="E17" s="2348"/>
      <c r="F17" s="2349"/>
      <c r="G17" s="2349"/>
      <c r="H17" s="44"/>
      <c r="I17" s="2350"/>
      <c r="J17" s="2351"/>
      <c r="K17" s="2374"/>
      <c r="L17" s="2374"/>
      <c r="M17" s="2374"/>
      <c r="N17" s="2375"/>
      <c r="O17" s="47"/>
      <c r="P17" s="48"/>
    </row>
    <row r="18" spans="1:16" ht="15.4" thickBot="1" x14ac:dyDescent="0.45">
      <c r="A18" s="63" t="s">
        <v>48</v>
      </c>
      <c r="B18" s="2365"/>
      <c r="C18" s="2366"/>
      <c r="D18" s="2366"/>
      <c r="E18" s="2367"/>
      <c r="F18" s="2368"/>
      <c r="G18" s="2368"/>
      <c r="H18" s="49"/>
      <c r="I18" s="2369"/>
      <c r="J18" s="2370"/>
      <c r="K18" s="2371"/>
      <c r="L18" s="2371"/>
      <c r="M18" s="2371"/>
      <c r="N18" s="2372"/>
      <c r="O18" s="50"/>
      <c r="P18" s="51"/>
    </row>
    <row r="19" spans="1:16" ht="15.4" thickBot="1" x14ac:dyDescent="0.45">
      <c r="A19" s="63">
        <v>2</v>
      </c>
      <c r="B19" s="201" t="s">
        <v>49</v>
      </c>
      <c r="C19" s="37"/>
      <c r="D19" s="38"/>
      <c r="E19" s="38"/>
      <c r="F19" s="38"/>
      <c r="G19" s="38"/>
      <c r="H19" s="199">
        <f>SUM(H10:H18)</f>
        <v>1</v>
      </c>
      <c r="I19" s="2250" t="e">
        <f ca="1">IF(AND(_OK?="OK!",_OK_KV?="OK_KV!"),SUM(I10:J18),Projekt!G458)</f>
        <v>#VALUE!</v>
      </c>
      <c r="J19" s="2251"/>
      <c r="K19" s="2373" t="s">
        <v>234</v>
      </c>
      <c r="L19" s="2373"/>
      <c r="M19" s="2373"/>
      <c r="N19" s="2373"/>
      <c r="O19" s="2373"/>
      <c r="P19" s="33">
        <f>Projekt!H478</f>
        <v>1</v>
      </c>
    </row>
    <row r="20" spans="1:16" x14ac:dyDescent="0.4">
      <c r="A20" s="63"/>
      <c r="B20" s="2244"/>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2376"/>
      <c r="I21" s="2376"/>
      <c r="J21" s="2376"/>
      <c r="K21" s="2376"/>
      <c r="L21" s="2376"/>
      <c r="M21" s="2376"/>
      <c r="N21" s="2377"/>
      <c r="O21" s="2432" t="e">
        <f ca="1">I19/H19</f>
        <v>#VALUE!</v>
      </c>
      <c r="P21" s="2433"/>
    </row>
    <row r="22" spans="1:16" ht="15.4" thickBot="1" x14ac:dyDescent="0.45">
      <c r="A22" s="63">
        <v>4</v>
      </c>
      <c r="B22" s="2228" t="s">
        <v>50</v>
      </c>
      <c r="C22" s="2229"/>
      <c r="D22" s="2229"/>
      <c r="E22" s="2229"/>
      <c r="F22" s="2229"/>
      <c r="G22" s="2229"/>
      <c r="H22" s="2378" t="s">
        <v>51</v>
      </c>
      <c r="I22" s="2378"/>
      <c r="J22" s="2379"/>
      <c r="K22" s="2426" t="e">
        <f ca="1">Projekt!G470</f>
        <v>#VALUE!</v>
      </c>
      <c r="L22" s="2427"/>
      <c r="M22" s="2380"/>
      <c r="N22" s="2381"/>
      <c r="O22" s="2430" t="e">
        <f ca="1">K22*O21</f>
        <v>#VALUE!</v>
      </c>
      <c r="P22" s="2431"/>
    </row>
    <row r="23" spans="1:16" x14ac:dyDescent="0.4">
      <c r="A23" s="63">
        <v>5</v>
      </c>
      <c r="B23" s="2226" t="s">
        <v>233</v>
      </c>
      <c r="C23" s="2227"/>
      <c r="D23" s="2227"/>
      <c r="E23" s="2227"/>
      <c r="F23" s="2227"/>
      <c r="G23" s="2227"/>
      <c r="H23" s="2382" t="s">
        <v>284</v>
      </c>
      <c r="I23" s="2146"/>
      <c r="J23" s="2146"/>
      <c r="K23" s="2146"/>
      <c r="L23" s="2146"/>
      <c r="M23" s="2146"/>
      <c r="N23" s="282"/>
      <c r="O23" s="2420" t="e">
        <f ca="1">SUM(O21:O22)</f>
        <v>#VALUE!</v>
      </c>
      <c r="P23" s="2421"/>
    </row>
    <row r="24" spans="1:16" x14ac:dyDescent="0.4">
      <c r="A24" s="63">
        <v>6</v>
      </c>
      <c r="B24" s="2233" t="s">
        <v>139</v>
      </c>
      <c r="C24" s="2233"/>
      <c r="D24" s="2233"/>
      <c r="E24" s="2233"/>
      <c r="F24" s="2233"/>
      <c r="G24" s="2233"/>
      <c r="H24" s="2224" t="s">
        <v>106</v>
      </c>
      <c r="I24" s="2224"/>
      <c r="J24" s="2225"/>
      <c r="K24" s="2428" t="e">
        <f ca="1">Projekt!H470</f>
        <v>#VALUE!</v>
      </c>
      <c r="L24" s="2429"/>
      <c r="M24" s="2160"/>
      <c r="N24" s="2161"/>
      <c r="O24" s="2358" t="e">
        <f ca="1">K24*O23</f>
        <v>#VALUE!</v>
      </c>
      <c r="P24" s="2359"/>
    </row>
    <row r="25" spans="1:16" x14ac:dyDescent="0.4">
      <c r="A25" s="63">
        <v>7</v>
      </c>
      <c r="B25" s="2233" t="s">
        <v>199</v>
      </c>
      <c r="C25" s="2233"/>
      <c r="D25" s="2233"/>
      <c r="E25" s="2233"/>
      <c r="F25" s="2233"/>
      <c r="G25" s="2233"/>
      <c r="H25" s="2224" t="s">
        <v>106</v>
      </c>
      <c r="I25" s="2224"/>
      <c r="J25" s="2225"/>
      <c r="K25" s="2424">
        <f>Projekt!H477</f>
        <v>0</v>
      </c>
      <c r="L25" s="2425"/>
      <c r="M25" s="2160"/>
      <c r="N25" s="2161"/>
      <c r="O25" s="2358" t="e">
        <f ca="1">K25*O23</f>
        <v>#VALUE!</v>
      </c>
      <c r="P25" s="2359"/>
    </row>
    <row r="26" spans="1:16" x14ac:dyDescent="0.4">
      <c r="A26" s="63">
        <v>8</v>
      </c>
      <c r="B26" s="2233" t="s">
        <v>80</v>
      </c>
      <c r="C26" s="2233"/>
      <c r="D26" s="2233"/>
      <c r="E26" s="2233"/>
      <c r="F26" s="2233"/>
      <c r="G26" s="2233"/>
      <c r="H26" s="2224" t="s">
        <v>106</v>
      </c>
      <c r="I26" s="2224"/>
      <c r="J26" s="2225"/>
      <c r="K26" s="2424" t="e">
        <f ca="1">Projekt!H489</f>
        <v>#VALUE!</v>
      </c>
      <c r="L26" s="2425"/>
      <c r="M26" s="2160"/>
      <c r="N26" s="2161"/>
      <c r="O26" s="2358" t="e">
        <f ca="1">K26*O23</f>
        <v>#VALUE!</v>
      </c>
      <c r="P26" s="2359"/>
    </row>
    <row r="27" spans="1:16" ht="15.4" thickBot="1" x14ac:dyDescent="0.45">
      <c r="A27" s="63">
        <v>9</v>
      </c>
      <c r="B27" s="2216" t="s">
        <v>132</v>
      </c>
      <c r="C27" s="2217"/>
      <c r="D27" s="2217"/>
      <c r="E27" s="2217"/>
      <c r="F27" s="2217"/>
      <c r="G27" s="2217"/>
      <c r="H27" s="2217"/>
      <c r="I27" s="2217"/>
      <c r="J27" s="2217"/>
      <c r="K27" s="2217"/>
      <c r="L27" s="2217"/>
      <c r="M27" s="2217"/>
      <c r="N27" s="2218"/>
      <c r="O27" s="2399">
        <f ca="1">Projekt!H490</f>
        <v>1.21</v>
      </c>
      <c r="P27" s="2400"/>
    </row>
    <row r="28" spans="1:16" x14ac:dyDescent="0.4">
      <c r="A28" s="63">
        <v>10</v>
      </c>
      <c r="B28" s="2226" t="s">
        <v>52</v>
      </c>
      <c r="C28" s="2227"/>
      <c r="D28" s="2227"/>
      <c r="E28" s="2227"/>
      <c r="F28" s="2227"/>
      <c r="G28" s="2227"/>
      <c r="H28" s="2382" t="s">
        <v>287</v>
      </c>
      <c r="I28" s="2146"/>
      <c r="J28" s="2146"/>
      <c r="K28" s="2146"/>
      <c r="L28" s="2146"/>
      <c r="M28" s="2146"/>
      <c r="N28" s="281"/>
      <c r="O28" s="2420" t="e">
        <f ca="1">SUM(O23:P27)</f>
        <v>#VALUE!</v>
      </c>
      <c r="P28" s="2421"/>
    </row>
    <row r="29" spans="1:16" x14ac:dyDescent="0.4">
      <c r="A29" s="63">
        <v>11</v>
      </c>
      <c r="B29" s="2322" t="s">
        <v>133</v>
      </c>
      <c r="C29" s="2322"/>
      <c r="D29" s="2322"/>
      <c r="E29" s="2322"/>
      <c r="F29" s="2322"/>
      <c r="G29" s="2322"/>
      <c r="H29" s="2322"/>
      <c r="I29" s="2322"/>
      <c r="J29" s="2322"/>
      <c r="K29" s="2322"/>
      <c r="L29" s="2322"/>
      <c r="M29" s="2322"/>
      <c r="N29" s="2322"/>
      <c r="O29" s="2358">
        <f ca="1">Projekt!H491</f>
        <v>0.94</v>
      </c>
      <c r="P29" s="2359"/>
    </row>
    <row r="30" spans="1:16" x14ac:dyDescent="0.4">
      <c r="A30" s="63">
        <v>12</v>
      </c>
      <c r="B30" s="2233" t="s">
        <v>53</v>
      </c>
      <c r="C30" s="2233"/>
      <c r="D30" s="2233"/>
      <c r="E30" s="2233"/>
      <c r="F30" s="2233"/>
      <c r="G30" s="2233"/>
      <c r="H30" s="2224" t="s">
        <v>54</v>
      </c>
      <c r="I30" s="2224"/>
      <c r="J30" s="2225"/>
      <c r="K30" s="2424">
        <f ca="1">Projekt!H492</f>
        <v>0.28110000000000002</v>
      </c>
      <c r="L30" s="2425"/>
      <c r="M30" s="2160"/>
      <c r="N30" s="2161"/>
      <c r="O30" s="2358" t="e">
        <f ca="1">K30*O28</f>
        <v>#VALUE!</v>
      </c>
      <c r="P30" s="2359"/>
    </row>
    <row r="31" spans="1:16" x14ac:dyDescent="0.4">
      <c r="A31" s="63">
        <v>13</v>
      </c>
      <c r="B31" s="2233" t="s">
        <v>55</v>
      </c>
      <c r="C31" s="2233"/>
      <c r="D31" s="2233"/>
      <c r="E31" s="2233"/>
      <c r="F31" s="2233"/>
      <c r="G31" s="2233"/>
      <c r="H31" s="2224" t="s">
        <v>54</v>
      </c>
      <c r="I31" s="2224"/>
      <c r="J31" s="2225"/>
      <c r="K31" s="2424">
        <f ca="1">Projekt!H493</f>
        <v>0.82350000000000001</v>
      </c>
      <c r="L31" s="2425"/>
      <c r="M31" s="2160"/>
      <c r="N31" s="2161"/>
      <c r="O31" s="2358" t="e">
        <f ca="1">K31*O28</f>
        <v>#VALUE!</v>
      </c>
      <c r="P31" s="2359"/>
    </row>
    <row r="32" spans="1:16" ht="15.4" thickBot="1" x14ac:dyDescent="0.45">
      <c r="A32" s="63">
        <v>14</v>
      </c>
      <c r="B32" s="2311" t="s">
        <v>56</v>
      </c>
      <c r="C32" s="2312"/>
      <c r="D32" s="2312"/>
      <c r="E32" s="2312"/>
      <c r="F32" s="2312"/>
      <c r="G32" s="2312"/>
      <c r="H32" s="2313" t="s">
        <v>54</v>
      </c>
      <c r="I32" s="2313"/>
      <c r="J32" s="2314"/>
      <c r="K32" s="2426">
        <f ca="1">Projekt!H494</f>
        <v>0</v>
      </c>
      <c r="L32" s="2427"/>
      <c r="M32" s="2162"/>
      <c r="N32" s="2163"/>
      <c r="O32" s="2399" t="e">
        <f ca="1">K32*O28</f>
        <v>#VALUE!</v>
      </c>
      <c r="P32" s="2400"/>
    </row>
    <row r="33" spans="1:16" x14ac:dyDescent="0.4">
      <c r="A33" s="63">
        <v>15</v>
      </c>
      <c r="B33" s="2226" t="s">
        <v>57</v>
      </c>
      <c r="C33" s="2227"/>
      <c r="D33" s="2227"/>
      <c r="E33" s="2227"/>
      <c r="F33" s="2227"/>
      <c r="G33" s="2227"/>
      <c r="H33" s="2382" t="s">
        <v>288</v>
      </c>
      <c r="I33" s="2146"/>
      <c r="J33" s="2146"/>
      <c r="K33" s="2146"/>
      <c r="L33" s="2146"/>
      <c r="M33" s="2146"/>
      <c r="N33" s="2146"/>
      <c r="O33" s="2420" t="e">
        <f ca="1">SUM(O28:P32)</f>
        <v>#VALUE!</v>
      </c>
      <c r="P33" s="2421"/>
    </row>
    <row r="34" spans="1:16" x14ac:dyDescent="0.4">
      <c r="A34" s="63">
        <v>16</v>
      </c>
      <c r="B34" s="2177" t="s">
        <v>58</v>
      </c>
      <c r="C34" s="2177"/>
      <c r="D34" s="2177"/>
      <c r="E34" s="2177"/>
      <c r="F34" s="2177"/>
      <c r="G34" s="2177"/>
      <c r="H34" s="2324" t="s">
        <v>59</v>
      </c>
      <c r="I34" s="2324"/>
      <c r="J34" s="2325"/>
      <c r="K34" s="2158">
        <f ca="1">Projekt!H495</f>
        <v>0.18554999999999999</v>
      </c>
      <c r="L34" s="2159"/>
      <c r="M34" s="2287"/>
      <c r="N34" s="2288"/>
      <c r="O34" s="2422" t="e">
        <f ca="1">K34*O33</f>
        <v>#VALUE!</v>
      </c>
      <c r="P34" s="2423"/>
    </row>
    <row r="35" spans="1:16" ht="24.4" customHeight="1" x14ac:dyDescent="0.4">
      <c r="A35" s="63">
        <v>17</v>
      </c>
      <c r="B35" s="2203" t="s">
        <v>110</v>
      </c>
      <c r="C35" s="2204"/>
      <c r="D35" s="2204"/>
      <c r="E35" s="2204"/>
      <c r="F35" s="2204"/>
      <c r="G35" s="2204"/>
      <c r="H35" s="2204"/>
      <c r="I35" s="2204"/>
      <c r="J35" s="2205"/>
      <c r="K35" s="2152" t="s">
        <v>134</v>
      </c>
      <c r="L35" s="2153"/>
      <c r="M35" s="2152" t="str">
        <f>IF(Projekt!F272="Nein","Umlage in €/Std","Umlage in €/Std bzw U% x B15")</f>
        <v>Umlage in €/Std</v>
      </c>
      <c r="N35" s="2153"/>
      <c r="O35" s="2389"/>
      <c r="P35" s="2390"/>
    </row>
    <row r="36" spans="1:16" x14ac:dyDescent="0.4">
      <c r="A36" s="141" t="s">
        <v>60</v>
      </c>
      <c r="B36" s="2206">
        <f>Projekt!A498</f>
        <v>0</v>
      </c>
      <c r="C36" s="2207"/>
      <c r="D36" s="2207"/>
      <c r="E36" s="2207"/>
      <c r="F36" s="2207"/>
      <c r="G36" s="2207"/>
      <c r="H36" s="2207"/>
      <c r="I36" s="2207"/>
      <c r="J36" s="2208"/>
      <c r="K36" s="2401" t="str">
        <f>IF(Projekt!G498=0,"",Projekt!G498)</f>
        <v/>
      </c>
      <c r="L36" s="2401"/>
      <c r="M36" s="2383" t="str">
        <f ca="1">IFERROR(IF(AND(Projekt!F498=0,Projekt!G498=0),"",IF(Projekt!G498&gt;0,Projekt!G498*O$33,IF(Projekt!F498=0,"",Projekt!F498))),"")</f>
        <v/>
      </c>
      <c r="N36" s="2384"/>
      <c r="O36" s="2391"/>
      <c r="P36" s="2392"/>
    </row>
    <row r="37" spans="1:16" x14ac:dyDescent="0.4">
      <c r="A37" s="141" t="s">
        <v>61</v>
      </c>
      <c r="B37" s="2185">
        <f>Projekt!A499</f>
        <v>0</v>
      </c>
      <c r="C37" s="2186"/>
      <c r="D37" s="2186"/>
      <c r="E37" s="2186"/>
      <c r="F37" s="2186"/>
      <c r="G37" s="2186"/>
      <c r="H37" s="2186"/>
      <c r="I37" s="2186"/>
      <c r="J37" s="2187"/>
      <c r="K37" s="2395" t="str">
        <f>IF(Projekt!G499=0,"",Projekt!G499)</f>
        <v/>
      </c>
      <c r="L37" s="2395"/>
      <c r="M37" s="2358" t="str">
        <f ca="1">IFERROR(IF(AND(Projekt!F499=0,Projekt!G499=0),"",IF(Projekt!G499&gt;0,Projekt!G499*O$33,IF(Projekt!F499=0,"",Projekt!F499))),"")</f>
        <v/>
      </c>
      <c r="N37" s="2359"/>
      <c r="O37" s="2391"/>
      <c r="P37" s="2392"/>
    </row>
    <row r="38" spans="1:16" ht="15.4" thickBot="1" x14ac:dyDescent="0.45">
      <c r="A38" s="141" t="s">
        <v>62</v>
      </c>
      <c r="B38" s="2209">
        <f>Projekt!A500</f>
        <v>0</v>
      </c>
      <c r="C38" s="2210"/>
      <c r="D38" s="2210"/>
      <c r="E38" s="2210"/>
      <c r="F38" s="2210"/>
      <c r="G38" s="2210"/>
      <c r="H38" s="2210"/>
      <c r="I38" s="2210"/>
      <c r="J38" s="2211"/>
      <c r="K38" s="2397" t="str">
        <f>IF(Projekt!G500=0,"",Projekt!G500)</f>
        <v/>
      </c>
      <c r="L38" s="2397"/>
      <c r="M38" s="2399" t="str">
        <f ca="1">IFERROR(IF(AND(Projekt!F500=0,Projekt!G500=0),"",IF(Projekt!G500&gt;0,Projekt!G500*O$33,IF(Projekt!F500=0,"",Projekt!F500))),"")</f>
        <v/>
      </c>
      <c r="N38" s="2400"/>
      <c r="O38" s="2393"/>
      <c r="P38" s="2394"/>
    </row>
    <row r="39" spans="1:16" ht="15.4" thickBot="1" x14ac:dyDescent="0.45">
      <c r="A39" s="64">
        <v>18</v>
      </c>
      <c r="B39" s="52" t="s">
        <v>293</v>
      </c>
      <c r="C39" s="4"/>
      <c r="D39" s="4"/>
      <c r="E39" s="4"/>
      <c r="F39" s="53"/>
      <c r="G39" s="53"/>
      <c r="H39" s="54"/>
      <c r="I39" s="2313" t="s">
        <v>295</v>
      </c>
      <c r="J39" s="2313"/>
      <c r="K39" s="2313"/>
      <c r="L39" s="2314"/>
      <c r="M39" s="2411" t="str">
        <f ca="1">IF(SUM(M36:N38)&gt;0,SUM(M36:N38),"")</f>
        <v/>
      </c>
      <c r="N39" s="2412"/>
      <c r="O39" s="2413" t="e">
        <f ca="1">O33+O34</f>
        <v>#VALUE!</v>
      </c>
      <c r="P39" s="2412"/>
    </row>
    <row r="40" spans="1:16" ht="27.85" customHeight="1" thickBot="1" x14ac:dyDescent="0.45">
      <c r="A40" s="64">
        <v>19</v>
      </c>
      <c r="B40" s="2262" t="s">
        <v>235</v>
      </c>
      <c r="C40" s="2263"/>
      <c r="D40" s="2263"/>
      <c r="E40" s="2263"/>
      <c r="F40" s="2263"/>
      <c r="G40" s="2263"/>
      <c r="H40" s="2263"/>
      <c r="I40" s="2263"/>
      <c r="J40" s="2307"/>
      <c r="K40" s="2309" t="s">
        <v>289</v>
      </c>
      <c r="L40" s="2310"/>
      <c r="M40" s="474"/>
      <c r="N40" s="2385" t="e">
        <f ca="1">SUM(M39:P39)</f>
        <v>#VALUE!</v>
      </c>
      <c r="O40" s="2385"/>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08" t="s">
        <v>65</v>
      </c>
      <c r="C42" s="2409"/>
      <c r="D42" s="2409"/>
      <c r="E42" s="2409"/>
      <c r="F42" s="2409"/>
      <c r="G42" s="2409"/>
      <c r="H42" s="2410"/>
      <c r="I42" s="2188" t="s">
        <v>63</v>
      </c>
      <c r="J42" s="2189"/>
      <c r="K42" s="2188" t="s">
        <v>64</v>
      </c>
      <c r="L42" s="2189"/>
      <c r="M42" s="2386"/>
      <c r="N42" s="2387"/>
      <c r="O42" s="2387"/>
      <c r="P42" s="2388"/>
    </row>
    <row r="43" spans="1:16" ht="15.4" thickBot="1" x14ac:dyDescent="0.45">
      <c r="A43" s="64">
        <v>20</v>
      </c>
      <c r="B43" s="2318"/>
      <c r="C43" s="2319"/>
      <c r="D43" s="2319"/>
      <c r="E43" s="2319"/>
      <c r="F43" s="2319"/>
      <c r="G43" s="2319"/>
      <c r="H43" s="2320"/>
      <c r="I43" s="2418" t="str">
        <f ca="1">IF(M39="","",Projekt!G267)</f>
        <v/>
      </c>
      <c r="J43" s="2419"/>
      <c r="K43" s="2418">
        <f>Projekt!E503</f>
        <v>0.25802999999999998</v>
      </c>
      <c r="L43" s="2419"/>
      <c r="M43" s="2414" t="str">
        <f ca="1">IFERROR(I43*M39,"")</f>
        <v/>
      </c>
      <c r="N43" s="2415"/>
      <c r="O43" s="2414" t="e">
        <f ca="1">K43*O39</f>
        <v>#VALUE!</v>
      </c>
      <c r="P43" s="2415"/>
    </row>
    <row r="44" spans="1:16" ht="15.4" thickBot="1" x14ac:dyDescent="0.45">
      <c r="A44" s="64">
        <v>21</v>
      </c>
      <c r="B44" s="2404" t="s">
        <v>292</v>
      </c>
      <c r="C44" s="2405"/>
      <c r="D44" s="2405"/>
      <c r="E44" s="2405"/>
      <c r="F44" s="2405"/>
      <c r="G44" s="2405"/>
      <c r="H44" s="2405"/>
      <c r="I44" s="2258" t="s">
        <v>291</v>
      </c>
      <c r="J44" s="2258"/>
      <c r="K44" s="2258"/>
      <c r="L44" s="2259"/>
      <c r="M44" s="2416">
        <f ca="1">IFERROR(SUM(M39,M43),"")</f>
        <v>0</v>
      </c>
      <c r="N44" s="2417"/>
      <c r="O44" s="2416" t="e">
        <f ca="1">SUM(O39:P43)</f>
        <v>#VALUE!</v>
      </c>
      <c r="P44" s="2417"/>
    </row>
    <row r="45" spans="1:16" ht="27.85" customHeight="1" thickBot="1" x14ac:dyDescent="0.45">
      <c r="A45" s="65">
        <v>22</v>
      </c>
      <c r="B45" s="2262" t="s">
        <v>238</v>
      </c>
      <c r="C45" s="2263"/>
      <c r="D45" s="2263"/>
      <c r="E45" s="2263"/>
      <c r="F45" s="2263"/>
      <c r="G45" s="2263"/>
      <c r="H45" s="2263"/>
      <c r="I45" s="2263"/>
      <c r="J45" s="2307"/>
      <c r="K45" s="2309" t="s">
        <v>290</v>
      </c>
      <c r="L45" s="2310"/>
      <c r="M45" s="474"/>
      <c r="N45" s="2385" t="e">
        <f ca="1">SUM(M44:P44)</f>
        <v>#VALUE!</v>
      </c>
      <c r="O45" s="2385"/>
      <c r="P45" s="475"/>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4" t="str">
        <f>"Lizenziert für:
"&amp;'Lizenz u lies mich'!B32</f>
        <v>Lizenziert für:
Vers. 3.0</v>
      </c>
      <c r="B47" s="2145"/>
      <c r="C47" s="2145"/>
      <c r="D47" s="2305" t="str">
        <f ca="1">' K3 PP'!D47</f>
        <v>Keine gültige Lizenz! Nur als Testversion nutzbar!</v>
      </c>
      <c r="E47" s="2305"/>
      <c r="F47" s="2305"/>
      <c r="G47" s="2305"/>
      <c r="H47" s="2306"/>
      <c r="I47" s="2304"/>
      <c r="J47" s="2304"/>
      <c r="K47" s="2304"/>
      <c r="L47" s="2304"/>
      <c r="M47" s="2304"/>
      <c r="N47" s="2301" t="s">
        <v>598</v>
      </c>
      <c r="O47" s="2302"/>
      <c r="P47" s="2303"/>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3:E13"/>
    <mergeCell ref="F13:G13"/>
    <mergeCell ref="I13:J13"/>
    <mergeCell ref="K13:N13"/>
    <mergeCell ref="B14:E14"/>
    <mergeCell ref="F14:G14"/>
    <mergeCell ref="I14:J14"/>
    <mergeCell ref="K14:N14"/>
    <mergeCell ref="B11:E11"/>
    <mergeCell ref="F11:G11"/>
    <mergeCell ref="I11:J11"/>
    <mergeCell ref="K11:N11"/>
    <mergeCell ref="B12:E12"/>
    <mergeCell ref="F12:G12"/>
    <mergeCell ref="I12:J12"/>
    <mergeCell ref="K12:N12"/>
    <mergeCell ref="B17:E17"/>
    <mergeCell ref="F17:G17"/>
    <mergeCell ref="I17:J17"/>
    <mergeCell ref="K17:N17"/>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B44:H44"/>
    <mergeCell ref="I44:L44"/>
    <mergeCell ref="M44:N44"/>
    <mergeCell ref="O44:P44"/>
    <mergeCell ref="B45:J45"/>
    <mergeCell ref="K45:L45"/>
    <mergeCell ref="N45:O45"/>
    <mergeCell ref="N47:P47"/>
    <mergeCell ref="I47:M47"/>
    <mergeCell ref="D47:H47"/>
  </mergeCells>
  <conditionalFormatting sqref="F5:I5">
    <cfRule type="expression" dxfId="23" priority="11">
      <formula>$J$5="X"</formula>
    </cfRule>
  </conditionalFormatting>
  <conditionalFormatting sqref="F6:I6">
    <cfRule type="expression" dxfId="22" priority="10">
      <formula>$J$6="X"</formula>
    </cfRule>
  </conditionalFormatting>
  <conditionalFormatting sqref="B5:D5">
    <cfRule type="expression" dxfId="21" priority="9">
      <formula>$E$5="X"</formula>
    </cfRule>
  </conditionalFormatting>
  <conditionalFormatting sqref="B6:D6">
    <cfRule type="expression" dxfId="20" priority="8">
      <formula>$E$6="X"</formula>
    </cfRule>
  </conditionalFormatting>
  <conditionalFormatting sqref="N45:O45 N40:O40 K3:P5">
    <cfRule type="expression" dxfId="19" priority="7">
      <formula>OR(_OK?&lt;&gt;"OK!",_OK_KV?&lt;&gt;"OK_KV!")</formula>
    </cfRule>
  </conditionalFormatting>
  <conditionalFormatting sqref="B36:J38">
    <cfRule type="expression" dxfId="18" priority="6">
      <formula>$B36=0</formula>
    </cfRule>
  </conditionalFormatting>
  <conditionalFormatting sqref="I19:J19 O21:P21 D47:H47">
    <cfRule type="expression" dxfId="17" priority="5">
      <formula>_OK?&lt;&gt;"OK!"</formula>
    </cfRule>
  </conditionalFormatting>
  <conditionalFormatting sqref="N40:O40 N45:O45">
    <cfRule type="expression" dxfId="16"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&amp;L&amp;"-,Standard"&amp;9K2-Blatt "Personalpreis Regie04"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526A2510-74C5-40D6-B379-B8A19924E4C5}">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EB85AE38-C245-494D-B629-742E8E1BE2FC}">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A5302761-6346-470E-92C4-325772FE497E}">
            <xm:f>Projekt!$F$272="Nein"</xm:f>
            <x14:dxf>
              <font>
                <color theme="0"/>
              </font>
              <border>
                <left style="thin">
                  <color theme="0"/>
                </left>
                <vertical/>
                <horizontal/>
              </border>
            </x14:dxf>
          </x14:cfRule>
          <xm:sqref>K35:L38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2F8-D2C3-4A0C-B72D-11701DE3C989}">
  <sheetPr>
    <tabColor theme="4" tint="0.59999389629810485"/>
  </sheetPr>
  <dimension ref="A1:P47"/>
  <sheetViews>
    <sheetView showGridLines="0" topLeftCell="A37"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0" t="s">
        <v>30</v>
      </c>
      <c r="C1" s="2180"/>
      <c r="D1" s="2180"/>
      <c r="E1" s="2180"/>
      <c r="F1" s="206" t="s">
        <v>294</v>
      </c>
      <c r="G1" s="2342" t="str">
        <f>Projekt!D10</f>
        <v xml:space="preserve">Musterbaustelle </v>
      </c>
      <c r="H1" s="2342"/>
      <c r="I1" s="2342"/>
      <c r="J1" s="2342"/>
      <c r="K1" s="2342"/>
      <c r="L1" s="2342"/>
      <c r="M1" s="2342"/>
      <c r="N1" s="2342"/>
      <c r="O1" s="2342"/>
      <c r="P1" s="2343"/>
    </row>
    <row r="2" spans="1:16" x14ac:dyDescent="0.4">
      <c r="A2" s="2326"/>
      <c r="B2" s="2264" t="s">
        <v>69</v>
      </c>
      <c r="C2" s="2265"/>
      <c r="D2" s="2265"/>
      <c r="E2" s="2265"/>
      <c r="F2" s="2328" t="str">
        <f>Projekt!D507</f>
        <v>Partie FA + HA</v>
      </c>
      <c r="G2" s="2328"/>
      <c r="H2" s="2328"/>
      <c r="I2" s="2328"/>
      <c r="J2" s="2329"/>
      <c r="K2" s="2232" t="s">
        <v>32</v>
      </c>
      <c r="L2" s="2233"/>
      <c r="M2" s="2233"/>
      <c r="N2" s="2233"/>
      <c r="O2" s="2233"/>
      <c r="P2" s="2298"/>
    </row>
    <row r="3" spans="1:16" x14ac:dyDescent="0.4">
      <c r="A3" s="2327"/>
      <c r="B3" s="2266"/>
      <c r="C3" s="2267"/>
      <c r="D3" s="2267"/>
      <c r="E3" s="2267"/>
      <c r="F3" s="2330"/>
      <c r="G3" s="2330"/>
      <c r="H3" s="2330"/>
      <c r="I3" s="2330"/>
      <c r="J3" s="2331"/>
      <c r="K3" s="2185" t="str">
        <f ca="1">Projekt!D7</f>
        <v>Nur als Testversion nutzbar!</v>
      </c>
      <c r="L3" s="2186"/>
      <c r="M3" s="2186"/>
      <c r="N3" s="2186"/>
      <c r="O3" s="2186"/>
      <c r="P3" s="2187"/>
    </row>
    <row r="4" spans="1:16" x14ac:dyDescent="0.4">
      <c r="A4" s="2327"/>
      <c r="B4" s="754" t="s">
        <v>252</v>
      </c>
      <c r="C4" s="2332" t="str">
        <f>Projekt!B14</f>
        <v>Musterbaustelle</v>
      </c>
      <c r="D4" s="2332"/>
      <c r="E4" s="2333"/>
      <c r="F4" s="754" t="s">
        <v>253</v>
      </c>
      <c r="G4" s="2334" t="str">
        <f>Projekt!B15</f>
        <v>xxx</v>
      </c>
      <c r="H4" s="2334"/>
      <c r="I4" s="2334"/>
      <c r="J4" s="2335"/>
      <c r="K4" s="2282" t="str">
        <f>IF(Projekt!D8&lt;&gt;0,Projekt!D8,"")</f>
        <v>Musterstraße</v>
      </c>
      <c r="L4" s="2283"/>
      <c r="M4" s="2283"/>
      <c r="N4" s="2283"/>
      <c r="O4" s="2283"/>
      <c r="P4" s="2284"/>
    </row>
    <row r="5" spans="1:16" x14ac:dyDescent="0.4">
      <c r="A5" s="2327"/>
      <c r="B5" s="2285" t="s">
        <v>33</v>
      </c>
      <c r="C5" s="2286"/>
      <c r="D5" s="2286"/>
      <c r="E5" s="9" t="str">
        <f>IF(Projekt!C$18=Projekt!F$18,"X","-")</f>
        <v>X</v>
      </c>
      <c r="F5" s="2215" t="s">
        <v>2</v>
      </c>
      <c r="G5" s="2215"/>
      <c r="H5" s="2215"/>
      <c r="I5" s="2215"/>
      <c r="J5" s="218" t="str">
        <f>IF(Projekt!C$19=Projekt!F$19,"X","-")</f>
        <v>X</v>
      </c>
      <c r="K5" s="2282" t="str">
        <f>IF(Projekt!D9&lt;&gt;0,Projekt!D9,"")</f>
        <v/>
      </c>
      <c r="L5" s="2283"/>
      <c r="M5" s="2283"/>
      <c r="N5" s="2283"/>
      <c r="O5" s="2283"/>
      <c r="P5" s="2284"/>
    </row>
    <row r="6" spans="1:16" x14ac:dyDescent="0.4">
      <c r="A6" s="2327"/>
      <c r="B6" s="2274" t="s">
        <v>34</v>
      </c>
      <c r="C6" s="2275"/>
      <c r="D6" s="2275"/>
      <c r="E6" s="219" t="str">
        <f>IF(Projekt!C$18=Projekt!G$18,"X","-")</f>
        <v>-</v>
      </c>
      <c r="F6" s="2232" t="s">
        <v>3</v>
      </c>
      <c r="G6" s="2233"/>
      <c r="H6" s="2233"/>
      <c r="I6" s="2233"/>
      <c r="J6" s="10" t="str">
        <f>IF(Projekt!C$19=Projekt!G$19,"X","-")</f>
        <v>-</v>
      </c>
      <c r="K6" s="2215" t="s">
        <v>1</v>
      </c>
      <c r="L6" s="2215"/>
      <c r="M6" s="2340">
        <f>Projekt!F14</f>
        <v>45047</v>
      </c>
      <c r="N6" s="2340"/>
      <c r="O6" s="2340"/>
      <c r="P6" s="2341"/>
    </row>
    <row r="7" spans="1:16" x14ac:dyDescent="0.4">
      <c r="A7" s="2327"/>
      <c r="B7" s="2243" t="s">
        <v>176</v>
      </c>
      <c r="C7" s="2244"/>
      <c r="D7" s="2244"/>
      <c r="E7" s="2244"/>
      <c r="F7" s="2336" t="s">
        <v>35</v>
      </c>
      <c r="G7" s="2337"/>
      <c r="H7" s="2337"/>
      <c r="I7" s="2337"/>
      <c r="J7" s="217" t="s">
        <v>9</v>
      </c>
      <c r="K7" s="2280" t="s">
        <v>223</v>
      </c>
      <c r="L7" s="2280"/>
      <c r="M7" s="2280"/>
      <c r="N7" s="2280"/>
      <c r="O7" s="2280"/>
      <c r="P7" s="2281"/>
    </row>
    <row r="8" spans="1:16" ht="15.4" thickBot="1" x14ac:dyDescent="0.45">
      <c r="A8" s="2327"/>
      <c r="B8" s="2344" t="str">
        <f ca="1">Stammdaten!B3</f>
        <v>KollV Hafner, Platten- und Fliesenleger</v>
      </c>
      <c r="C8" s="2345"/>
      <c r="D8" s="2345"/>
      <c r="E8" s="2345"/>
      <c r="F8" s="2345"/>
      <c r="G8" s="2345"/>
      <c r="H8" s="2345"/>
      <c r="I8" s="2345"/>
      <c r="J8" s="2345"/>
      <c r="K8" s="2345"/>
      <c r="L8" s="2346"/>
      <c r="M8" s="2299" t="s">
        <v>36</v>
      </c>
      <c r="N8" s="2300"/>
      <c r="O8" s="2338">
        <f ca="1">Stammdaten!B4</f>
        <v>45047</v>
      </c>
      <c r="P8" s="2339"/>
    </row>
    <row r="9" spans="1:16" x14ac:dyDescent="0.4">
      <c r="A9" s="142">
        <v>1</v>
      </c>
      <c r="B9" s="2287" t="s">
        <v>136</v>
      </c>
      <c r="C9" s="2288"/>
      <c r="D9" s="2288"/>
      <c r="E9" s="2289"/>
      <c r="F9" s="2160" t="s">
        <v>137</v>
      </c>
      <c r="G9" s="2452"/>
      <c r="H9" s="755" t="s">
        <v>585</v>
      </c>
      <c r="I9" s="2181" t="s">
        <v>586</v>
      </c>
      <c r="J9" s="2182"/>
      <c r="K9" s="2183" t="s">
        <v>138</v>
      </c>
      <c r="L9" s="2183"/>
      <c r="M9" s="2183"/>
      <c r="N9" s="2183"/>
      <c r="O9" s="2183"/>
      <c r="P9" s="39">
        <f ca="1">Projekt!C151</f>
        <v>39</v>
      </c>
    </row>
    <row r="10" spans="1:16" x14ac:dyDescent="0.4">
      <c r="A10" s="63" t="s">
        <v>39</v>
      </c>
      <c r="B10" s="2453" t="s">
        <v>590</v>
      </c>
      <c r="C10" s="2453"/>
      <c r="D10" s="2453"/>
      <c r="E10" s="2453"/>
      <c r="F10" s="2383" t="str">
        <f ca="1">IFERROR((VLOOKUP(B10,Stammdaten!A$7:D$33,4,FALSE)),"")</f>
        <v/>
      </c>
      <c r="G10" s="2384"/>
      <c r="H10" s="770"/>
      <c r="I10" s="2358" t="str">
        <f ca="1">IF(PRODUCT(F10,H10)=0,"",F10*H10)</f>
        <v/>
      </c>
      <c r="J10" s="2359"/>
      <c r="K10" s="2279" t="s">
        <v>232</v>
      </c>
      <c r="L10" s="2279"/>
      <c r="M10" s="2279"/>
      <c r="N10" s="2360"/>
      <c r="O10" s="756" t="s">
        <v>40</v>
      </c>
      <c r="P10" s="8" t="s">
        <v>23</v>
      </c>
    </row>
    <row r="11" spans="1:16" x14ac:dyDescent="0.4">
      <c r="A11" s="63" t="s">
        <v>41</v>
      </c>
      <c r="B11" s="2451" t="str">
        <f>IFERROR(Projekt!A510,"")</f>
        <v>3. Facharbeiter mit Lehrabschluss</v>
      </c>
      <c r="C11" s="2451"/>
      <c r="D11" s="2451"/>
      <c r="E11" s="2451"/>
      <c r="F11" s="2358" t="str">
        <f ca="1">IFERROR((VLOOKUP(B11,Stammdaten!A$7:D$33,4,FALSE)),"")</f>
        <v/>
      </c>
      <c r="G11" s="2359"/>
      <c r="H11" s="769">
        <f>Projekt!E510</f>
        <v>1</v>
      </c>
      <c r="I11" s="2358" t="e">
        <f ca="1">IF(PRODUCT(F11,H11)=0,"",F11*H11)</f>
        <v>#VALUE!</v>
      </c>
      <c r="J11" s="2359"/>
      <c r="K11" s="2434" t="str">
        <f>IF(Projekt!F535=1,Projekt!B536,"Regiestunde")</f>
        <v>Regiestunde</v>
      </c>
      <c r="L11" s="2435"/>
      <c r="M11" s="2435"/>
      <c r="N11" s="2435"/>
      <c r="O11" s="388" t="str">
        <f>IF(Projekt!F535=1,Projekt!E536,"")</f>
        <v/>
      </c>
      <c r="P11" s="389">
        <v>1</v>
      </c>
    </row>
    <row r="12" spans="1:16" x14ac:dyDescent="0.4">
      <c r="A12" s="63" t="s">
        <v>42</v>
      </c>
      <c r="B12" s="2451" t="str">
        <f>IFERROR(Projekt!A511,"")</f>
        <v>7. Hilfspersonal</v>
      </c>
      <c r="C12" s="2451"/>
      <c r="D12" s="2451"/>
      <c r="E12" s="2451"/>
      <c r="F12" s="2358" t="str">
        <f ca="1">IFERROR((VLOOKUP(B12,Stammdaten!A$7:D$33,4,FALSE)),"")</f>
        <v/>
      </c>
      <c r="G12" s="2359"/>
      <c r="H12" s="769">
        <f>Projekt!E511</f>
        <v>1</v>
      </c>
      <c r="I12" s="2358" t="e">
        <f ca="1">IF(PRODUCT(F12,H12)=0,"",F12*H12)</f>
        <v>#VALUE!</v>
      </c>
      <c r="J12" s="2359"/>
      <c r="K12" s="2436" t="str">
        <f>IF(Projekt!F539=1,Projekt!B540,IF(Projekt!F543=1,Projekt!B544,""))</f>
        <v/>
      </c>
      <c r="L12" s="2437"/>
      <c r="M12" s="2437"/>
      <c r="N12" s="2438"/>
      <c r="O12" s="390" t="str">
        <f>IF(Projekt!F539=1,Projekt!E540,"")</f>
        <v/>
      </c>
      <c r="P12" s="391"/>
    </row>
    <row r="13" spans="1:16" x14ac:dyDescent="0.4">
      <c r="A13" s="63" t="s">
        <v>43</v>
      </c>
      <c r="B13" s="2451">
        <f>IFERROR(Projekt!A512,"")</f>
        <v>0</v>
      </c>
      <c r="C13" s="2451"/>
      <c r="D13" s="2451"/>
      <c r="E13" s="2451"/>
      <c r="F13" s="2358">
        <f ca="1">IFERROR((VLOOKUP(B13,Stammdaten!A$7:D$33,4,FALSE)),"")</f>
        <v>0</v>
      </c>
      <c r="G13" s="2359"/>
      <c r="H13" s="769">
        <f>Projekt!E512</f>
        <v>0</v>
      </c>
      <c r="I13" s="2358" t="str">
        <f ca="1">IF(PRODUCT(F13,H13)=0,"",F13*H13)</f>
        <v/>
      </c>
      <c r="J13" s="2359"/>
      <c r="K13" s="2363"/>
      <c r="L13" s="2363"/>
      <c r="M13" s="2363"/>
      <c r="N13" s="2364"/>
      <c r="O13" s="45"/>
      <c r="P13" s="46"/>
    </row>
    <row r="14" spans="1:16" x14ac:dyDescent="0.4">
      <c r="A14" s="63" t="s">
        <v>44</v>
      </c>
      <c r="B14" s="2451">
        <f>IFERROR(Projekt!A513,"")</f>
        <v>0</v>
      </c>
      <c r="C14" s="2451"/>
      <c r="D14" s="2451"/>
      <c r="E14" s="2451"/>
      <c r="F14" s="2358">
        <f ca="1">IFERROR((VLOOKUP(B14,Stammdaten!A$7:D$33,4,FALSE)),"")</f>
        <v>0</v>
      </c>
      <c r="G14" s="2359"/>
      <c r="H14" s="769">
        <f>Projekt!E513</f>
        <v>0</v>
      </c>
      <c r="I14" s="2358" t="str">
        <f ca="1">IF(PRODUCT(F14,H14)=0,"",F14*H14)</f>
        <v/>
      </c>
      <c r="J14" s="2359"/>
      <c r="K14" s="2363"/>
      <c r="L14" s="2363"/>
      <c r="M14" s="2363"/>
      <c r="N14" s="2364"/>
      <c r="O14" s="45"/>
      <c r="P14" s="46"/>
    </row>
    <row r="15" spans="1:16" x14ac:dyDescent="0.4">
      <c r="A15" s="63" t="s">
        <v>45</v>
      </c>
      <c r="B15" s="2347"/>
      <c r="C15" s="2347"/>
      <c r="D15" s="2347"/>
      <c r="E15" s="2347"/>
      <c r="F15" s="2350"/>
      <c r="G15" s="2351"/>
      <c r="H15" s="771"/>
      <c r="I15" s="2350"/>
      <c r="J15" s="2351"/>
      <c r="K15" s="2363"/>
      <c r="L15" s="2363"/>
      <c r="M15" s="2363"/>
      <c r="N15" s="2364"/>
      <c r="O15" s="45"/>
      <c r="P15" s="46"/>
    </row>
    <row r="16" spans="1:16" x14ac:dyDescent="0.4">
      <c r="A16" s="63" t="s">
        <v>46</v>
      </c>
      <c r="B16" s="2347"/>
      <c r="C16" s="2347"/>
      <c r="D16" s="2347"/>
      <c r="E16" s="2347"/>
      <c r="F16" s="2350"/>
      <c r="G16" s="2351"/>
      <c r="H16" s="771"/>
      <c r="I16" s="2350"/>
      <c r="J16" s="2351"/>
      <c r="K16" s="2374"/>
      <c r="L16" s="2374"/>
      <c r="M16" s="2374"/>
      <c r="N16" s="2375"/>
      <c r="O16" s="47"/>
      <c r="P16" s="48"/>
    </row>
    <row r="17" spans="1:16" x14ac:dyDescent="0.4">
      <c r="A17" s="63" t="s">
        <v>47</v>
      </c>
      <c r="B17" s="2347"/>
      <c r="C17" s="2347"/>
      <c r="D17" s="2347"/>
      <c r="E17" s="2347"/>
      <c r="F17" s="2350"/>
      <c r="G17" s="2351"/>
      <c r="H17" s="771"/>
      <c r="I17" s="2350"/>
      <c r="J17" s="2351"/>
      <c r="K17" s="2374"/>
      <c r="L17" s="2374"/>
      <c r="M17" s="2374"/>
      <c r="N17" s="2375"/>
      <c r="O17" s="47"/>
      <c r="P17" s="48"/>
    </row>
    <row r="18" spans="1:16" ht="15.4" thickBot="1" x14ac:dyDescent="0.45">
      <c r="A18" s="63" t="s">
        <v>48</v>
      </c>
      <c r="B18" s="2365"/>
      <c r="C18" s="2366"/>
      <c r="D18" s="2366"/>
      <c r="E18" s="2366"/>
      <c r="F18" s="2369"/>
      <c r="G18" s="2370"/>
      <c r="H18" s="772"/>
      <c r="I18" s="2369"/>
      <c r="J18" s="2370"/>
      <c r="K18" s="2371"/>
      <c r="L18" s="2371"/>
      <c r="M18" s="2371"/>
      <c r="N18" s="2372"/>
      <c r="O18" s="50"/>
      <c r="P18" s="51"/>
    </row>
    <row r="19" spans="1:16" ht="15.4" thickBot="1" x14ac:dyDescent="0.45">
      <c r="A19" s="63">
        <v>2</v>
      </c>
      <c r="B19" s="201" t="s">
        <v>587</v>
      </c>
      <c r="C19" s="37"/>
      <c r="D19" s="38"/>
      <c r="E19" s="38"/>
      <c r="F19" s="38"/>
      <c r="G19" s="38"/>
      <c r="H19" s="773">
        <f>SUM(H10:H18)</f>
        <v>2</v>
      </c>
      <c r="I19" s="2250" t="e">
        <f ca="1">IF(AND(_OK?="OK!",_OK_KV?="OK_KV!"),SUM(I10:J18),Projekt!G511*2)</f>
        <v>#VALUE!</v>
      </c>
      <c r="J19" s="2251"/>
      <c r="K19" s="2373" t="s">
        <v>234</v>
      </c>
      <c r="L19" s="2373"/>
      <c r="M19" s="2373"/>
      <c r="N19" s="2373"/>
      <c r="O19" s="2373"/>
      <c r="P19" s="33">
        <f>Projekt!H534</f>
        <v>1</v>
      </c>
    </row>
    <row r="20" spans="1:16" x14ac:dyDescent="0.4">
      <c r="A20" s="63"/>
      <c r="B20" s="2244"/>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2376"/>
      <c r="I21" s="2376"/>
      <c r="J21" s="2376"/>
      <c r="K21" s="2376"/>
      <c r="L21" s="2376"/>
      <c r="M21" s="2376"/>
      <c r="N21" s="2377"/>
      <c r="O21" s="2432" t="e">
        <f ca="1">I19/H19</f>
        <v>#VALUE!</v>
      </c>
      <c r="P21" s="2433"/>
    </row>
    <row r="22" spans="1:16" ht="15.4" thickBot="1" x14ac:dyDescent="0.45">
      <c r="A22" s="63">
        <v>4</v>
      </c>
      <c r="B22" s="2228" t="s">
        <v>50</v>
      </c>
      <c r="C22" s="2229"/>
      <c r="D22" s="2229"/>
      <c r="E22" s="2229"/>
      <c r="F22" s="2229"/>
      <c r="G22" s="2229"/>
      <c r="H22" s="2378" t="s">
        <v>51</v>
      </c>
      <c r="I22" s="2378"/>
      <c r="J22" s="2379"/>
      <c r="K22" s="2426" t="e">
        <f ca="1">Projekt!G526</f>
        <v>#VALUE!</v>
      </c>
      <c r="L22" s="2427"/>
      <c r="M22" s="2380"/>
      <c r="N22" s="2381"/>
      <c r="O22" s="2430" t="e">
        <f ca="1">K22*O21</f>
        <v>#VALUE!</v>
      </c>
      <c r="P22" s="2431"/>
    </row>
    <row r="23" spans="1:16" x14ac:dyDescent="0.4">
      <c r="A23" s="63">
        <v>5</v>
      </c>
      <c r="B23" s="2226" t="s">
        <v>233</v>
      </c>
      <c r="C23" s="2227"/>
      <c r="D23" s="2227"/>
      <c r="E23" s="2227"/>
      <c r="F23" s="2227"/>
      <c r="G23" s="2227"/>
      <c r="H23" s="2382" t="s">
        <v>284</v>
      </c>
      <c r="I23" s="2146"/>
      <c r="J23" s="2146"/>
      <c r="K23" s="2146"/>
      <c r="L23" s="2146"/>
      <c r="M23" s="2146"/>
      <c r="N23" s="282"/>
      <c r="O23" s="2420" t="e">
        <f ca="1">SUM(O21:O22)</f>
        <v>#VALUE!</v>
      </c>
      <c r="P23" s="2421"/>
    </row>
    <row r="24" spans="1:16" x14ac:dyDescent="0.4">
      <c r="A24" s="63">
        <v>6</v>
      </c>
      <c r="B24" s="2233" t="s">
        <v>139</v>
      </c>
      <c r="C24" s="2233"/>
      <c r="D24" s="2233"/>
      <c r="E24" s="2233"/>
      <c r="F24" s="2233"/>
      <c r="G24" s="2233"/>
      <c r="H24" s="2224" t="s">
        <v>106</v>
      </c>
      <c r="I24" s="2224"/>
      <c r="J24" s="2225"/>
      <c r="K24" s="2428" t="e">
        <f ca="1">Projekt!H526</f>
        <v>#VALUE!</v>
      </c>
      <c r="L24" s="2429"/>
      <c r="M24" s="2160"/>
      <c r="N24" s="2161"/>
      <c r="O24" s="2358" t="e">
        <f ca="1">K24*O23</f>
        <v>#VALUE!</v>
      </c>
      <c r="P24" s="2359"/>
    </row>
    <row r="25" spans="1:16" x14ac:dyDescent="0.4">
      <c r="A25" s="63">
        <v>7</v>
      </c>
      <c r="B25" s="2233" t="s">
        <v>199</v>
      </c>
      <c r="C25" s="2233"/>
      <c r="D25" s="2233"/>
      <c r="E25" s="2233"/>
      <c r="F25" s="2233"/>
      <c r="G25" s="2233"/>
      <c r="H25" s="2224" t="s">
        <v>106</v>
      </c>
      <c r="I25" s="2224"/>
      <c r="J25" s="2225"/>
      <c r="K25" s="2424">
        <f>Projekt!H533</f>
        <v>0</v>
      </c>
      <c r="L25" s="2425"/>
      <c r="M25" s="2160"/>
      <c r="N25" s="2161"/>
      <c r="O25" s="2358" t="e">
        <f ca="1">K25*O23</f>
        <v>#VALUE!</v>
      </c>
      <c r="P25" s="2359"/>
    </row>
    <row r="26" spans="1:16" x14ac:dyDescent="0.4">
      <c r="A26" s="63">
        <v>8</v>
      </c>
      <c r="B26" s="2233" t="s">
        <v>80</v>
      </c>
      <c r="C26" s="2233"/>
      <c r="D26" s="2233"/>
      <c r="E26" s="2233"/>
      <c r="F26" s="2233"/>
      <c r="G26" s="2233"/>
      <c r="H26" s="2224" t="s">
        <v>106</v>
      </c>
      <c r="I26" s="2224"/>
      <c r="J26" s="2225"/>
      <c r="K26" s="2424">
        <f>Projekt!H545</f>
        <v>0</v>
      </c>
      <c r="L26" s="2425"/>
      <c r="M26" s="2160"/>
      <c r="N26" s="2161"/>
      <c r="O26" s="2358" t="e">
        <f ca="1">K26*O23</f>
        <v>#VALUE!</v>
      </c>
      <c r="P26" s="2359"/>
    </row>
    <row r="27" spans="1:16" ht="15.4" thickBot="1" x14ac:dyDescent="0.45">
      <c r="A27" s="63">
        <v>9</v>
      </c>
      <c r="B27" s="2216" t="s">
        <v>132</v>
      </c>
      <c r="C27" s="2217"/>
      <c r="D27" s="2217"/>
      <c r="E27" s="2217"/>
      <c r="F27" s="2217"/>
      <c r="G27" s="2217"/>
      <c r="H27" s="2217"/>
      <c r="I27" s="2217"/>
      <c r="J27" s="2217"/>
      <c r="K27" s="2217"/>
      <c r="L27" s="2217"/>
      <c r="M27" s="2217"/>
      <c r="N27" s="2218"/>
      <c r="O27" s="2399">
        <f ca="1">Projekt!H546</f>
        <v>1.21</v>
      </c>
      <c r="P27" s="2400"/>
    </row>
    <row r="28" spans="1:16" x14ac:dyDescent="0.4">
      <c r="A28" s="63">
        <v>10</v>
      </c>
      <c r="B28" s="2226" t="s">
        <v>52</v>
      </c>
      <c r="C28" s="2227"/>
      <c r="D28" s="2227"/>
      <c r="E28" s="2227"/>
      <c r="F28" s="2227"/>
      <c r="G28" s="2227"/>
      <c r="H28" s="2382" t="s">
        <v>287</v>
      </c>
      <c r="I28" s="2146"/>
      <c r="J28" s="2146"/>
      <c r="K28" s="2146"/>
      <c r="L28" s="2146"/>
      <c r="M28" s="2146"/>
      <c r="N28" s="281"/>
      <c r="O28" s="2420" t="e">
        <f ca="1">SUM(O23:P27)</f>
        <v>#VALUE!</v>
      </c>
      <c r="P28" s="2421"/>
    </row>
    <row r="29" spans="1:16" x14ac:dyDescent="0.4">
      <c r="A29" s="63">
        <v>11</v>
      </c>
      <c r="B29" s="2322" t="s">
        <v>133</v>
      </c>
      <c r="C29" s="2322"/>
      <c r="D29" s="2322"/>
      <c r="E29" s="2322"/>
      <c r="F29" s="2322"/>
      <c r="G29" s="2322"/>
      <c r="H29" s="2322"/>
      <c r="I29" s="2322"/>
      <c r="J29" s="2322"/>
      <c r="K29" s="2322"/>
      <c r="L29" s="2322"/>
      <c r="M29" s="2322"/>
      <c r="N29" s="2322"/>
      <c r="O29" s="2358">
        <f ca="1">Projekt!H547</f>
        <v>0.94</v>
      </c>
      <c r="P29" s="2359"/>
    </row>
    <row r="30" spans="1:16" x14ac:dyDescent="0.4">
      <c r="A30" s="63">
        <v>12</v>
      </c>
      <c r="B30" s="2233" t="s">
        <v>53</v>
      </c>
      <c r="C30" s="2233"/>
      <c r="D30" s="2233"/>
      <c r="E30" s="2233"/>
      <c r="F30" s="2233"/>
      <c r="G30" s="2233"/>
      <c r="H30" s="2224" t="s">
        <v>54</v>
      </c>
      <c r="I30" s="2224"/>
      <c r="J30" s="2225"/>
      <c r="K30" s="2424">
        <f ca="1">Projekt!H548</f>
        <v>0.28110000000000002</v>
      </c>
      <c r="L30" s="2425"/>
      <c r="M30" s="2160"/>
      <c r="N30" s="2161"/>
      <c r="O30" s="2358" t="e">
        <f ca="1">K30*O28</f>
        <v>#VALUE!</v>
      </c>
      <c r="P30" s="2359"/>
    </row>
    <row r="31" spans="1:16" x14ac:dyDescent="0.4">
      <c r="A31" s="63">
        <v>13</v>
      </c>
      <c r="B31" s="2233" t="s">
        <v>55</v>
      </c>
      <c r="C31" s="2233"/>
      <c r="D31" s="2233"/>
      <c r="E31" s="2233"/>
      <c r="F31" s="2233"/>
      <c r="G31" s="2233"/>
      <c r="H31" s="2224" t="s">
        <v>54</v>
      </c>
      <c r="I31" s="2224"/>
      <c r="J31" s="2225"/>
      <c r="K31" s="2424">
        <f ca="1">Projekt!H549</f>
        <v>0.82350000000000001</v>
      </c>
      <c r="L31" s="2425"/>
      <c r="M31" s="2160"/>
      <c r="N31" s="2161"/>
      <c r="O31" s="2358" t="e">
        <f ca="1">K31*O28</f>
        <v>#VALUE!</v>
      </c>
      <c r="P31" s="2359"/>
    </row>
    <row r="32" spans="1:16" ht="15.4" thickBot="1" x14ac:dyDescent="0.45">
      <c r="A32" s="63">
        <v>14</v>
      </c>
      <c r="B32" s="2311" t="s">
        <v>56</v>
      </c>
      <c r="C32" s="2312"/>
      <c r="D32" s="2312"/>
      <c r="E32" s="2312"/>
      <c r="F32" s="2312"/>
      <c r="G32" s="2312"/>
      <c r="H32" s="2313" t="s">
        <v>54</v>
      </c>
      <c r="I32" s="2313"/>
      <c r="J32" s="2314"/>
      <c r="K32" s="2426">
        <f ca="1">Projekt!H550</f>
        <v>0</v>
      </c>
      <c r="L32" s="2427"/>
      <c r="M32" s="2162"/>
      <c r="N32" s="2163"/>
      <c r="O32" s="2399" t="e">
        <f ca="1">K32*O28</f>
        <v>#VALUE!</v>
      </c>
      <c r="P32" s="2400"/>
    </row>
    <row r="33" spans="1:16" x14ac:dyDescent="0.4">
      <c r="A33" s="63">
        <v>15</v>
      </c>
      <c r="B33" s="2226" t="s">
        <v>57</v>
      </c>
      <c r="C33" s="2227"/>
      <c r="D33" s="2227"/>
      <c r="E33" s="2227"/>
      <c r="F33" s="2227"/>
      <c r="G33" s="2227"/>
      <c r="H33" s="2382" t="s">
        <v>288</v>
      </c>
      <c r="I33" s="2146"/>
      <c r="J33" s="2146"/>
      <c r="K33" s="2146"/>
      <c r="L33" s="2146"/>
      <c r="M33" s="2146"/>
      <c r="N33" s="2146"/>
      <c r="O33" s="2420" t="e">
        <f ca="1">SUM(O28:P32)</f>
        <v>#VALUE!</v>
      </c>
      <c r="P33" s="2421"/>
    </row>
    <row r="34" spans="1:16" x14ac:dyDescent="0.4">
      <c r="A34" s="63">
        <v>16</v>
      </c>
      <c r="B34" s="2444" t="s">
        <v>58</v>
      </c>
      <c r="C34" s="2444"/>
      <c r="D34" s="2444"/>
      <c r="E34" s="2444"/>
      <c r="F34" s="2444"/>
      <c r="G34" s="2444"/>
      <c r="H34" s="2445" t="s">
        <v>59</v>
      </c>
      <c r="I34" s="2445"/>
      <c r="J34" s="2446"/>
      <c r="K34" s="2447">
        <f ca="1">Projekt!H551</f>
        <v>0.18554999999999999</v>
      </c>
      <c r="L34" s="2448"/>
      <c r="M34" s="2232"/>
      <c r="N34" s="2233"/>
      <c r="O34" s="2449" t="e">
        <f ca="1">K34*O33</f>
        <v>#VALUE!</v>
      </c>
      <c r="P34" s="2450"/>
    </row>
    <row r="35" spans="1:16" ht="24.4" customHeight="1" x14ac:dyDescent="0.4">
      <c r="A35" s="142">
        <v>17</v>
      </c>
      <c r="B35" s="2203" t="s">
        <v>110</v>
      </c>
      <c r="C35" s="2204"/>
      <c r="D35" s="2204"/>
      <c r="E35" s="2204"/>
      <c r="F35" s="2204"/>
      <c r="G35" s="2204"/>
      <c r="H35" s="2204"/>
      <c r="I35" s="2204"/>
      <c r="J35" s="2204"/>
      <c r="K35" s="2441" t="s">
        <v>134</v>
      </c>
      <c r="L35" s="2442"/>
      <c r="M35" s="2441" t="str">
        <f>IF(Projekt!F272="Nein","Umlage in €/Std","Umlage in €/Std bzw U% x B15")</f>
        <v>Umlage in €/Std</v>
      </c>
      <c r="N35" s="2442"/>
      <c r="O35" s="2443"/>
      <c r="P35" s="2390"/>
    </row>
    <row r="36" spans="1:16" x14ac:dyDescent="0.4">
      <c r="A36" s="141" t="s">
        <v>60</v>
      </c>
      <c r="B36" s="2206" t="str">
        <f>Projekt!A554</f>
        <v>Umlage für: BGK</v>
      </c>
      <c r="C36" s="2207"/>
      <c r="D36" s="2207"/>
      <c r="E36" s="2207"/>
      <c r="F36" s="2207"/>
      <c r="G36" s="2207"/>
      <c r="H36" s="2207"/>
      <c r="I36" s="2207"/>
      <c r="J36" s="2208"/>
      <c r="K36" s="2395" t="str">
        <f>IF(Projekt!G554=0,"",Projekt!G554)</f>
        <v/>
      </c>
      <c r="L36" s="2396"/>
      <c r="M36" s="2358" t="str">
        <f ca="1">IFERROR(IF(AND(Projekt!F554=0,Projekt!G554=0),"",IF(Projekt!G554&gt;0,Projekt!G554*O$33,IF(Projekt!F554=0,"",Projekt!F554))),"")</f>
        <v/>
      </c>
      <c r="N36" s="2359"/>
      <c r="O36" s="2391"/>
      <c r="P36" s="2392"/>
    </row>
    <row r="37" spans="1:16" x14ac:dyDescent="0.4">
      <c r="A37" s="141" t="s">
        <v>61</v>
      </c>
      <c r="B37" s="2185" t="str">
        <f>Projekt!A555</f>
        <v/>
      </c>
      <c r="C37" s="2186"/>
      <c r="D37" s="2186"/>
      <c r="E37" s="2186"/>
      <c r="F37" s="2186"/>
      <c r="G37" s="2186"/>
      <c r="H37" s="2186"/>
      <c r="I37" s="2186"/>
      <c r="J37" s="2187"/>
      <c r="K37" s="2395" t="str">
        <f>IF(Projekt!G555=0,"",Projekt!G555)</f>
        <v/>
      </c>
      <c r="L37" s="2396"/>
      <c r="M37" s="2358" t="str">
        <f>IFERROR(IF(AND(Projekt!F555=0,Projekt!G555=0),"",IF(Projekt!G555&gt;0,Projekt!G555*O$33,IF(Projekt!F555=0,"",Projekt!F555))),"")</f>
        <v/>
      </c>
      <c r="N37" s="2359"/>
      <c r="O37" s="2391"/>
      <c r="P37" s="2392"/>
    </row>
    <row r="38" spans="1:16" ht="15.4" thickBot="1" x14ac:dyDescent="0.45">
      <c r="A38" s="141" t="s">
        <v>62</v>
      </c>
      <c r="B38" s="2209">
        <f>Projekt!A556</f>
        <v>0</v>
      </c>
      <c r="C38" s="2210"/>
      <c r="D38" s="2210"/>
      <c r="E38" s="2210"/>
      <c r="F38" s="2210"/>
      <c r="G38" s="2210"/>
      <c r="H38" s="2210"/>
      <c r="I38" s="2210"/>
      <c r="J38" s="2211"/>
      <c r="K38" s="2397" t="str">
        <f>IF(Projekt!G556=0,"",Projekt!G556)</f>
        <v/>
      </c>
      <c r="L38" s="2398"/>
      <c r="M38" s="2399" t="str">
        <f ca="1">IFERROR(IF(AND(Projekt!F556=0,Projekt!G556=0),"",IF(Projekt!G556&gt;0,Projekt!G556*O$33,IF(Projekt!F556=0,"",Projekt!F556))),"")</f>
        <v/>
      </c>
      <c r="N38" s="2400"/>
      <c r="O38" s="2393"/>
      <c r="P38" s="2394"/>
    </row>
    <row r="39" spans="1:16" ht="15.4" thickBot="1" x14ac:dyDescent="0.45">
      <c r="A39" s="64">
        <v>18</v>
      </c>
      <c r="B39" s="52" t="s">
        <v>293</v>
      </c>
      <c r="C39" s="4"/>
      <c r="D39" s="4"/>
      <c r="E39" s="4"/>
      <c r="F39" s="53"/>
      <c r="G39" s="53"/>
      <c r="H39" s="54"/>
      <c r="I39" s="2313" t="s">
        <v>295</v>
      </c>
      <c r="J39" s="2313"/>
      <c r="K39" s="2313"/>
      <c r="L39" s="2314"/>
      <c r="M39" s="2411" t="str">
        <f ca="1">IF(SUM(M36:N38)&gt;0,SUM(M36:N38),"")</f>
        <v/>
      </c>
      <c r="N39" s="2412"/>
      <c r="O39" s="2413" t="e">
        <f ca="1">O33+O34</f>
        <v>#VALUE!</v>
      </c>
      <c r="P39" s="2412"/>
    </row>
    <row r="40" spans="1:16" ht="27.85" customHeight="1" thickBot="1" x14ac:dyDescent="0.45">
      <c r="A40" s="64">
        <v>19</v>
      </c>
      <c r="B40" s="2262" t="s">
        <v>588</v>
      </c>
      <c r="C40" s="2263"/>
      <c r="D40" s="2263"/>
      <c r="E40" s="2263"/>
      <c r="F40" s="2263"/>
      <c r="G40" s="2263"/>
      <c r="H40" s="2263"/>
      <c r="I40" s="2263"/>
      <c r="J40" s="2307"/>
      <c r="K40" s="2309" t="s">
        <v>289</v>
      </c>
      <c r="L40" s="2310"/>
      <c r="M40" s="2439" t="e">
        <f ca="1">"(€ "&amp;TEXT(SUM(M39:P39),"0,00")&amp;") / € "&amp;TEXT(SUM(M39:P39)*H$19,"0,00")</f>
        <v>#VALUE!</v>
      </c>
      <c r="N40" s="2439"/>
      <c r="O40" s="2439"/>
      <c r="P40" s="2440"/>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08" t="s">
        <v>65</v>
      </c>
      <c r="C42" s="2409"/>
      <c r="D42" s="2409"/>
      <c r="E42" s="2409"/>
      <c r="F42" s="2409"/>
      <c r="G42" s="2409"/>
      <c r="H42" s="2410"/>
      <c r="I42" s="2188" t="s">
        <v>63</v>
      </c>
      <c r="J42" s="2189"/>
      <c r="K42" s="2188" t="s">
        <v>64</v>
      </c>
      <c r="L42" s="2189"/>
      <c r="M42" s="2386"/>
      <c r="N42" s="2387"/>
      <c r="O42" s="2387"/>
      <c r="P42" s="2388"/>
    </row>
    <row r="43" spans="1:16" ht="15.4" thickBot="1" x14ac:dyDescent="0.45">
      <c r="A43" s="64">
        <v>20</v>
      </c>
      <c r="B43" s="2318"/>
      <c r="C43" s="2319"/>
      <c r="D43" s="2319"/>
      <c r="E43" s="2319"/>
      <c r="F43" s="2319"/>
      <c r="G43" s="2319"/>
      <c r="H43" s="2320"/>
      <c r="I43" s="2418" t="str">
        <f ca="1">IF(M39="","",Projekt!G267)</f>
        <v/>
      </c>
      <c r="J43" s="2419"/>
      <c r="K43" s="2418">
        <f>Projekt!E559</f>
        <v>0.25802999999999998</v>
      </c>
      <c r="L43" s="2419"/>
      <c r="M43" s="2414" t="str">
        <f ca="1">IFERROR(I43*M39,"")</f>
        <v/>
      </c>
      <c r="N43" s="2415"/>
      <c r="O43" s="2414" t="e">
        <f ca="1">K43*O39</f>
        <v>#VALUE!</v>
      </c>
      <c r="P43" s="2415"/>
    </row>
    <row r="44" spans="1:16" ht="15.4" thickBot="1" x14ac:dyDescent="0.45">
      <c r="A44" s="64">
        <v>21</v>
      </c>
      <c r="B44" s="2404" t="s">
        <v>292</v>
      </c>
      <c r="C44" s="2405"/>
      <c r="D44" s="2405"/>
      <c r="E44" s="2405"/>
      <c r="F44" s="2405"/>
      <c r="G44" s="2405"/>
      <c r="H44" s="2405"/>
      <c r="I44" s="2258" t="s">
        <v>291</v>
      </c>
      <c r="J44" s="2258"/>
      <c r="K44" s="2258"/>
      <c r="L44" s="2259"/>
      <c r="M44" s="2416">
        <f ca="1">IFERROR(SUM(M39,M43),"")</f>
        <v>0</v>
      </c>
      <c r="N44" s="2417"/>
      <c r="O44" s="2416" t="e">
        <f ca="1">SUM(O39:P43)</f>
        <v>#VALUE!</v>
      </c>
      <c r="P44" s="2417"/>
    </row>
    <row r="45" spans="1:16" ht="27.85" customHeight="1" thickBot="1" x14ac:dyDescent="0.45">
      <c r="A45" s="65">
        <v>22</v>
      </c>
      <c r="B45" s="2262" t="s">
        <v>591</v>
      </c>
      <c r="C45" s="2263"/>
      <c r="D45" s="2263"/>
      <c r="E45" s="2263"/>
      <c r="F45" s="2263"/>
      <c r="G45" s="2263"/>
      <c r="H45" s="2263"/>
      <c r="I45" s="2263"/>
      <c r="J45" s="2307"/>
      <c r="K45" s="2309" t="s">
        <v>290</v>
      </c>
      <c r="L45" s="2310"/>
      <c r="M45" s="2439" t="e">
        <f ca="1">"(€ "&amp;TEXT(SUM(M44:P44),"0,00")&amp;") / € "&amp;TEXT(SUM(M44:P44)*H$19,"0,00")</f>
        <v>#VALUE!</v>
      </c>
      <c r="N45" s="2439"/>
      <c r="O45" s="2439"/>
      <c r="P45" s="2440"/>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4" t="str">
        <f>"Lizenziert für:
"&amp;'Lizenz u lies mich'!B32</f>
        <v>Lizenziert für:
Vers. 3.0</v>
      </c>
      <c r="B47" s="2145"/>
      <c r="C47" s="2145"/>
      <c r="D47" s="2305" t="str">
        <f ca="1">' K3 PP'!D47</f>
        <v>Keine gültige Lizenz! Nur als Testversion nutzbar!</v>
      </c>
      <c r="E47" s="2305"/>
      <c r="F47" s="2305"/>
      <c r="G47" s="2305"/>
      <c r="H47" s="2306"/>
      <c r="I47" s="2304"/>
      <c r="J47" s="2304"/>
      <c r="K47" s="2304"/>
      <c r="L47" s="2304"/>
      <c r="M47" s="2304"/>
      <c r="N47" s="2301" t="s">
        <v>598</v>
      </c>
      <c r="O47" s="2302"/>
      <c r="P47" s="2303"/>
    </row>
  </sheetData>
  <sheetProtection password="B984" sheet="1" scenarios="1" formatColumns="0" selectLockedCells="1"/>
  <mergeCells count="161">
    <mergeCell ref="A2:A8"/>
    <mergeCell ref="B2:E3"/>
    <mergeCell ref="F2:J3"/>
    <mergeCell ref="K2:P2"/>
    <mergeCell ref="K3:P3"/>
    <mergeCell ref="C4:E4"/>
    <mergeCell ref="G4:J4"/>
    <mergeCell ref="K4:P4"/>
    <mergeCell ref="B5:D5"/>
    <mergeCell ref="F5:I5"/>
    <mergeCell ref="K5:P5"/>
    <mergeCell ref="B6:D6"/>
    <mergeCell ref="F6:I6"/>
    <mergeCell ref="K6:L6"/>
    <mergeCell ref="M6:P6"/>
    <mergeCell ref="B1:E1"/>
    <mergeCell ref="G1:P1"/>
    <mergeCell ref="B9:E9"/>
    <mergeCell ref="F9:G9"/>
    <mergeCell ref="I9:J9"/>
    <mergeCell ref="K9:O9"/>
    <mergeCell ref="B10:E10"/>
    <mergeCell ref="F10:G10"/>
    <mergeCell ref="I10:J10"/>
    <mergeCell ref="K10:N10"/>
    <mergeCell ref="B7:E7"/>
    <mergeCell ref="F7:I7"/>
    <mergeCell ref="K7:P7"/>
    <mergeCell ref="B8:L8"/>
    <mergeCell ref="M8:N8"/>
    <mergeCell ref="O8:P8"/>
    <mergeCell ref="B11:E11"/>
    <mergeCell ref="F11:G11"/>
    <mergeCell ref="I11:J11"/>
    <mergeCell ref="K11:N11"/>
    <mergeCell ref="B12:E12"/>
    <mergeCell ref="F12:G12"/>
    <mergeCell ref="I12:J12"/>
    <mergeCell ref="K12:N12"/>
    <mergeCell ref="B17:E17"/>
    <mergeCell ref="F17:G17"/>
    <mergeCell ref="I17:J17"/>
    <mergeCell ref="K17:N17"/>
    <mergeCell ref="B13:E13"/>
    <mergeCell ref="F13:G13"/>
    <mergeCell ref="I13:J13"/>
    <mergeCell ref="K13:N13"/>
    <mergeCell ref="B14:E14"/>
    <mergeCell ref="F14:G14"/>
    <mergeCell ref="I14:J14"/>
    <mergeCell ref="K14:N14"/>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I39:L39"/>
    <mergeCell ref="M39:N39"/>
    <mergeCell ref="O39:P39"/>
    <mergeCell ref="B35:J35"/>
    <mergeCell ref="K35:L35"/>
    <mergeCell ref="M35:N35"/>
    <mergeCell ref="O35:P38"/>
    <mergeCell ref="B36:J36"/>
    <mergeCell ref="K36:L36"/>
    <mergeCell ref="M36:N36"/>
    <mergeCell ref="B37:J37"/>
    <mergeCell ref="K37:L37"/>
    <mergeCell ref="M37:N37"/>
    <mergeCell ref="A47:C47"/>
    <mergeCell ref="M40:P40"/>
    <mergeCell ref="M45:P45"/>
    <mergeCell ref="O43:P43"/>
    <mergeCell ref="B44:H44"/>
    <mergeCell ref="I44:L44"/>
    <mergeCell ref="M44:N44"/>
    <mergeCell ref="O44:P44"/>
    <mergeCell ref="B45:J45"/>
    <mergeCell ref="K45:L45"/>
    <mergeCell ref="B40:J40"/>
    <mergeCell ref="K40:L40"/>
    <mergeCell ref="B42:H43"/>
    <mergeCell ref="I42:J42"/>
    <mergeCell ref="K42:L42"/>
    <mergeCell ref="M42:P42"/>
    <mergeCell ref="I43:J43"/>
    <mergeCell ref="K43:L43"/>
    <mergeCell ref="M43:N43"/>
    <mergeCell ref="N47:P47"/>
    <mergeCell ref="I47:M47"/>
    <mergeCell ref="D47:H47"/>
  </mergeCells>
  <conditionalFormatting sqref="F5:I5">
    <cfRule type="expression" dxfId="12" priority="14">
      <formula>$J$5="X"</formula>
    </cfRule>
  </conditionalFormatting>
  <conditionalFormatting sqref="F6:I6">
    <cfRule type="expression" dxfId="11" priority="13">
      <formula>$J$6="X"</formula>
    </cfRule>
  </conditionalFormatting>
  <conditionalFormatting sqref="B5:D5">
    <cfRule type="expression" dxfId="10" priority="12">
      <formula>$E$5="X"</formula>
    </cfRule>
  </conditionalFormatting>
  <conditionalFormatting sqref="B6:D6">
    <cfRule type="expression" dxfId="9" priority="11">
      <formula>$E$6="X"</formula>
    </cfRule>
  </conditionalFormatting>
  <conditionalFormatting sqref="M40 K3:P5">
    <cfRule type="expression" dxfId="8" priority="10">
      <formula>OR(_OK?&lt;&gt;"OK!",_OK_KV?&lt;&gt;"OK_KV!")</formula>
    </cfRule>
  </conditionalFormatting>
  <conditionalFormatting sqref="B11:J14">
    <cfRule type="expression" dxfId="7" priority="8">
      <formula>$B11=0</formula>
    </cfRule>
  </conditionalFormatting>
  <conditionalFormatting sqref="B36:J38">
    <cfRule type="expression" dxfId="6" priority="7">
      <formula>$B36=0</formula>
    </cfRule>
  </conditionalFormatting>
  <conditionalFormatting sqref="M45">
    <cfRule type="expression" dxfId="5" priority="6">
      <formula>OR(_OK?&lt;&gt;"OK!",_OK_KV?&lt;&gt;"OK_KV!")</formula>
    </cfRule>
  </conditionalFormatting>
  <conditionalFormatting sqref="I19:J19 O21:P21 D47:H47">
    <cfRule type="expression" dxfId="4" priority="5">
      <formula>_OK?&lt;&gt;"OK!"</formula>
    </cfRule>
  </conditionalFormatting>
  <conditionalFormatting sqref="M40:P40 M45:P45">
    <cfRule type="expression" dxfId="3" priority="4">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Regiepartie01"
Seite: &amp;P&amp;R&amp;"-,Standard"&amp;9&amp;F</oddFooter>
  </headerFooter>
  <extLst>
    <ext xmlns:x14="http://schemas.microsoft.com/office/spreadsheetml/2009/9/main" uri="{78C0D931-6437-407d-A8EE-F0AAD7539E65}">
      <x14:conditionalFormattings>
        <x14:conditionalFormatting xmlns:xm="http://schemas.microsoft.com/office/excel/2006/main">
          <x14:cfRule type="expression" priority="3" id="{4571985E-5172-4F75-A867-A57A1F8B91F5}">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E1A39514-FE1F-45B2-BEEE-B9A5B9799382}">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89D7CC42-3C00-40F0-886F-B9716C193738}">
            <xm:f>Projekt!$F$272="Nein"</xm:f>
            <x14:dxf>
              <font>
                <color theme="0"/>
              </font>
              <border>
                <left style="thin">
                  <color theme="0"/>
                </left>
                <vertical/>
                <horizontal/>
              </border>
            </x14:dxf>
          </x14:cfRule>
          <xm:sqref>K35:L38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F006-7FED-41ED-BFE6-DE41C8AD0138}">
  <sheetPr>
    <tabColor rgb="FFFF0000"/>
  </sheetPr>
  <dimension ref="A1:H51"/>
  <sheetViews>
    <sheetView showGridLines="0" zoomScaleNormal="100" workbookViewId="0">
      <selection sqref="A1:XFD1048576"/>
    </sheetView>
  </sheetViews>
  <sheetFormatPr baseColWidth="10" defaultColWidth="10.6640625" defaultRowHeight="15.75" x14ac:dyDescent="0.5"/>
  <cols>
    <col min="1" max="1" width="12.44140625" style="788" customWidth="1"/>
    <col min="2" max="4" width="11.21875" style="788" customWidth="1"/>
    <col min="5" max="6" width="9.6640625" style="788" customWidth="1"/>
    <col min="7" max="7" width="10.6640625" style="788"/>
    <col min="8" max="8" width="12.77734375" style="788" customWidth="1"/>
    <col min="9" max="9" width="21.33203125" style="788" customWidth="1"/>
    <col min="10" max="10" width="4.33203125" style="788" customWidth="1"/>
    <col min="11" max="16384" width="10.6640625" style="788"/>
  </cols>
  <sheetData>
    <row r="1" spans="2:8" ht="16.149999999999999" thickBot="1" x14ac:dyDescent="0.55000000000000004"/>
    <row r="2" spans="2:8" x14ac:dyDescent="0.5">
      <c r="B2" s="1280" t="str">
        <f>'Lizenz u lies mich'!C7</f>
        <v>Musterfirma</v>
      </c>
      <c r="C2" s="1281"/>
      <c r="D2" s="1281"/>
      <c r="E2" s="1282"/>
      <c r="F2" s="789">
        <f>LEN(B2)</f>
        <v>11</v>
      </c>
      <c r="G2" s="790"/>
      <c r="H2" s="791"/>
    </row>
    <row r="3" spans="2:8" ht="16.149999999999999" thickBot="1" x14ac:dyDescent="0.55000000000000004">
      <c r="B3" s="1283" t="str">
        <f>'Lizenz u lies mich'!C9</f>
        <v>Musterstraße</v>
      </c>
      <c r="C3" s="1284"/>
      <c r="D3" s="1284"/>
      <c r="E3" s="1285"/>
      <c r="F3" s="792">
        <f>LEN(B3)</f>
        <v>12</v>
      </c>
      <c r="G3" s="793"/>
      <c r="H3" s="794"/>
    </row>
    <row r="4" spans="2:8" x14ac:dyDescent="0.5">
      <c r="B4" s="795" t="e">
        <f>TEXT('Lizenz u lies mich'!B14,"000000")</f>
        <v>#VALUE!</v>
      </c>
      <c r="C4" s="796"/>
      <c r="D4" s="796"/>
      <c r="E4" s="797"/>
      <c r="F4" s="798">
        <f>F2+F3</f>
        <v>23</v>
      </c>
      <c r="G4" s="799"/>
      <c r="H4" s="800"/>
    </row>
    <row r="5" spans="2:8" x14ac:dyDescent="0.5">
      <c r="B5" s="801">
        <f>IFERROR(CODE(MID(B$2,1,1))+F2,61+F3)</f>
        <v>88</v>
      </c>
      <c r="C5" s="802">
        <f>INT(B5/100)</f>
        <v>0</v>
      </c>
      <c r="D5" s="802">
        <f>INT(B5/10)-C5*10</f>
        <v>8</v>
      </c>
      <c r="E5" s="803">
        <f>B5-C5*100-D5*10</f>
        <v>8</v>
      </c>
      <c r="F5" s="804"/>
      <c r="G5" s="793"/>
      <c r="H5" s="800"/>
    </row>
    <row r="6" spans="2:8" x14ac:dyDescent="0.5">
      <c r="B6" s="805">
        <f>IFERROR(CODE(MID(B$2,2,1)),65)</f>
        <v>117</v>
      </c>
      <c r="C6" s="799">
        <f t="shared" ref="C6:C31" si="0">INT(B6/100)</f>
        <v>1</v>
      </c>
      <c r="D6" s="799">
        <f t="shared" ref="D6:D31" si="1">INT(B6/10)-C6*10</f>
        <v>1</v>
      </c>
      <c r="E6" s="804">
        <f t="shared" ref="E6:E31" si="2">B6-C6*100-D6*10</f>
        <v>7</v>
      </c>
      <c r="F6" s="804"/>
      <c r="G6" s="793"/>
      <c r="H6" s="800"/>
    </row>
    <row r="7" spans="2:8" x14ac:dyDescent="0.5">
      <c r="B7" s="805">
        <f>IFERROR(CODE(MID(B$2,3,1)),69)</f>
        <v>115</v>
      </c>
      <c r="C7" s="799">
        <f t="shared" si="0"/>
        <v>1</v>
      </c>
      <c r="D7" s="799">
        <f t="shared" si="1"/>
        <v>1</v>
      </c>
      <c r="E7" s="804">
        <f t="shared" si="2"/>
        <v>5</v>
      </c>
      <c r="F7" s="804"/>
      <c r="G7" s="793"/>
      <c r="H7" s="800"/>
    </row>
    <row r="8" spans="2:8" x14ac:dyDescent="0.5">
      <c r="B8" s="805">
        <f>IFERROR(CODE(MID(B$2,4,1)),61)</f>
        <v>116</v>
      </c>
      <c r="C8" s="799">
        <f t="shared" si="0"/>
        <v>1</v>
      </c>
      <c r="D8" s="799">
        <f t="shared" si="1"/>
        <v>1</v>
      </c>
      <c r="E8" s="804">
        <f t="shared" si="2"/>
        <v>6</v>
      </c>
      <c r="F8" s="804"/>
      <c r="G8" s="793"/>
      <c r="H8" s="800"/>
    </row>
    <row r="9" spans="2:8" x14ac:dyDescent="0.5">
      <c r="B9" s="805">
        <f>IFERROR(CODE(MID(B$2,5,1))*2+F3,61+F4)</f>
        <v>214</v>
      </c>
      <c r="C9" s="799">
        <f t="shared" si="0"/>
        <v>2</v>
      </c>
      <c r="D9" s="799">
        <f t="shared" si="1"/>
        <v>1</v>
      </c>
      <c r="E9" s="804">
        <f t="shared" si="2"/>
        <v>4</v>
      </c>
      <c r="F9" s="804"/>
      <c r="G9" s="793"/>
      <c r="H9" s="800"/>
    </row>
    <row r="10" spans="2:8" x14ac:dyDescent="0.5">
      <c r="B10" s="805">
        <f>IFERROR(CODE(MID(B$2,6,1)),91)</f>
        <v>114</v>
      </c>
      <c r="C10" s="799">
        <f t="shared" si="0"/>
        <v>1</v>
      </c>
      <c r="D10" s="799">
        <f t="shared" si="1"/>
        <v>1</v>
      </c>
      <c r="E10" s="804">
        <f t="shared" si="2"/>
        <v>4</v>
      </c>
      <c r="F10" s="804"/>
      <c r="G10" s="793"/>
      <c r="H10" s="800"/>
    </row>
    <row r="11" spans="2:8" x14ac:dyDescent="0.5">
      <c r="B11" s="805">
        <f>IFERROR(CODE(MID(B$2,7,1)),61)</f>
        <v>102</v>
      </c>
      <c r="C11" s="799">
        <f t="shared" si="0"/>
        <v>1</v>
      </c>
      <c r="D11" s="799">
        <f t="shared" si="1"/>
        <v>0</v>
      </c>
      <c r="E11" s="804">
        <f t="shared" si="2"/>
        <v>2</v>
      </c>
      <c r="F11" s="804"/>
      <c r="G11" s="793"/>
      <c r="H11" s="800"/>
    </row>
    <row r="12" spans="2:8" x14ac:dyDescent="0.5">
      <c r="B12" s="805">
        <f>IFERROR(CODE(MID(B$2,8,1))+F2,61)</f>
        <v>116</v>
      </c>
      <c r="C12" s="799">
        <f t="shared" si="0"/>
        <v>1</v>
      </c>
      <c r="D12" s="799">
        <f t="shared" si="1"/>
        <v>1</v>
      </c>
      <c r="E12" s="804">
        <f t="shared" si="2"/>
        <v>6</v>
      </c>
      <c r="F12" s="804"/>
      <c r="G12" s="793"/>
      <c r="H12" s="800"/>
    </row>
    <row r="13" spans="2:8" x14ac:dyDescent="0.5">
      <c r="B13" s="805">
        <f>IFERROR(CODE(MID(B$2,9,1)),71)</f>
        <v>114</v>
      </c>
      <c r="C13" s="799">
        <f t="shared" si="0"/>
        <v>1</v>
      </c>
      <c r="D13" s="799">
        <f t="shared" si="1"/>
        <v>1</v>
      </c>
      <c r="E13" s="804">
        <f t="shared" si="2"/>
        <v>4</v>
      </c>
      <c r="F13" s="804"/>
      <c r="G13" s="793"/>
      <c r="H13" s="800"/>
    </row>
    <row r="14" spans="2:8" x14ac:dyDescent="0.5">
      <c r="B14" s="806">
        <f>IFERROR(CODE(MID(B$2,10,1)),111)</f>
        <v>109</v>
      </c>
      <c r="C14" s="807">
        <f t="shared" si="0"/>
        <v>1</v>
      </c>
      <c r="D14" s="807">
        <f t="shared" si="1"/>
        <v>0</v>
      </c>
      <c r="E14" s="808">
        <f t="shared" si="2"/>
        <v>9</v>
      </c>
      <c r="F14" s="804"/>
      <c r="G14" s="793"/>
      <c r="H14" s="800"/>
    </row>
    <row r="15" spans="2:8" x14ac:dyDescent="0.5">
      <c r="B15" s="801">
        <f>IFERROR(CODE(MID(B$3,1,1)),61)</f>
        <v>77</v>
      </c>
      <c r="C15" s="802">
        <f t="shared" si="0"/>
        <v>0</v>
      </c>
      <c r="D15" s="802">
        <f t="shared" si="1"/>
        <v>7</v>
      </c>
      <c r="E15" s="803">
        <f t="shared" si="2"/>
        <v>7</v>
      </c>
      <c r="F15" s="804"/>
      <c r="G15" s="793"/>
      <c r="H15" s="800"/>
    </row>
    <row r="16" spans="2:8" x14ac:dyDescent="0.5">
      <c r="B16" s="805">
        <f>IFERROR(CODE(MID(B$3,2,1)),61)</f>
        <v>117</v>
      </c>
      <c r="C16" s="799">
        <f t="shared" si="0"/>
        <v>1</v>
      </c>
      <c r="D16" s="799">
        <f t="shared" si="1"/>
        <v>1</v>
      </c>
      <c r="E16" s="804">
        <f t="shared" si="2"/>
        <v>7</v>
      </c>
      <c r="F16" s="804"/>
      <c r="G16" s="793"/>
      <c r="H16" s="800"/>
    </row>
    <row r="17" spans="2:8" x14ac:dyDescent="0.5">
      <c r="B17" s="805">
        <f>IFERROR(CODE(MID(B$3,3,1)),61)</f>
        <v>115</v>
      </c>
      <c r="C17" s="799">
        <f t="shared" si="0"/>
        <v>1</v>
      </c>
      <c r="D17" s="799">
        <f t="shared" si="1"/>
        <v>1</v>
      </c>
      <c r="E17" s="804">
        <f t="shared" si="2"/>
        <v>5</v>
      </c>
      <c r="F17" s="804"/>
      <c r="G17" s="793"/>
      <c r="H17" s="800"/>
    </row>
    <row r="18" spans="2:8" x14ac:dyDescent="0.5">
      <c r="B18" s="805">
        <f>IFERROR(CODE(MID(B$3,4,1)),61)</f>
        <v>116</v>
      </c>
      <c r="C18" s="799">
        <f t="shared" si="0"/>
        <v>1</v>
      </c>
      <c r="D18" s="799">
        <f t="shared" si="1"/>
        <v>1</v>
      </c>
      <c r="E18" s="804">
        <f t="shared" si="2"/>
        <v>6</v>
      </c>
      <c r="F18" s="804"/>
      <c r="G18" s="793"/>
      <c r="H18" s="800"/>
    </row>
    <row r="19" spans="2:8" x14ac:dyDescent="0.5">
      <c r="B19" s="805">
        <f>IFERROR(CODE(MID(B$3,5,1)),118)</f>
        <v>101</v>
      </c>
      <c r="C19" s="799">
        <f t="shared" si="0"/>
        <v>1</v>
      </c>
      <c r="D19" s="799">
        <f t="shared" si="1"/>
        <v>0</v>
      </c>
      <c r="E19" s="804">
        <f t="shared" si="2"/>
        <v>1</v>
      </c>
      <c r="F19" s="804"/>
      <c r="G19" s="793"/>
      <c r="H19" s="800"/>
    </row>
    <row r="20" spans="2:8" x14ac:dyDescent="0.5">
      <c r="B20" s="805">
        <f>IFERROR(CODE(MID(B$3,6,1)),61)</f>
        <v>114</v>
      </c>
      <c r="C20" s="799">
        <f t="shared" si="0"/>
        <v>1</v>
      </c>
      <c r="D20" s="799">
        <f t="shared" si="1"/>
        <v>1</v>
      </c>
      <c r="E20" s="804">
        <f t="shared" si="2"/>
        <v>4</v>
      </c>
      <c r="F20" s="804"/>
      <c r="G20" s="793"/>
      <c r="H20" s="800"/>
    </row>
    <row r="21" spans="2:8" x14ac:dyDescent="0.5">
      <c r="B21" s="805">
        <f>IFERROR(CODE(MID(B$3,7,1)),91)</f>
        <v>115</v>
      </c>
      <c r="C21" s="799">
        <f t="shared" si="0"/>
        <v>1</v>
      </c>
      <c r="D21" s="799">
        <f t="shared" si="1"/>
        <v>1</v>
      </c>
      <c r="E21" s="804">
        <f t="shared" si="2"/>
        <v>5</v>
      </c>
      <c r="F21" s="804"/>
      <c r="G21" s="793"/>
      <c r="H21" s="800"/>
    </row>
    <row r="22" spans="2:8" x14ac:dyDescent="0.5">
      <c r="B22" s="805">
        <f>IFERROR(CODE(MID(B$3,8,1)),61)</f>
        <v>116</v>
      </c>
      <c r="C22" s="799">
        <f t="shared" si="0"/>
        <v>1</v>
      </c>
      <c r="D22" s="799">
        <f t="shared" si="1"/>
        <v>1</v>
      </c>
      <c r="E22" s="804">
        <f t="shared" si="2"/>
        <v>6</v>
      </c>
      <c r="F22" s="804"/>
      <c r="G22" s="793"/>
      <c r="H22" s="800"/>
    </row>
    <row r="23" spans="2:8" x14ac:dyDescent="0.5">
      <c r="B23" s="805">
        <f>IFERROR(CODE(MID(B$3,9,1)),101)</f>
        <v>114</v>
      </c>
      <c r="C23" s="799">
        <f t="shared" si="0"/>
        <v>1</v>
      </c>
      <c r="D23" s="799">
        <f t="shared" si="1"/>
        <v>1</v>
      </c>
      <c r="E23" s="804">
        <f t="shared" si="2"/>
        <v>4</v>
      </c>
      <c r="F23" s="804"/>
      <c r="G23" s="793"/>
      <c r="H23" s="800"/>
    </row>
    <row r="24" spans="2:8" x14ac:dyDescent="0.5">
      <c r="B24" s="805">
        <f>IFERROR(CODE(MID(B$3,10,1)),61)</f>
        <v>97</v>
      </c>
      <c r="C24" s="799">
        <f t="shared" si="0"/>
        <v>0</v>
      </c>
      <c r="D24" s="799">
        <f t="shared" si="1"/>
        <v>9</v>
      </c>
      <c r="E24" s="804">
        <f t="shared" si="2"/>
        <v>7</v>
      </c>
      <c r="F24" s="804"/>
      <c r="G24" s="793"/>
      <c r="H24" s="800"/>
    </row>
    <row r="25" spans="2:8" x14ac:dyDescent="0.5">
      <c r="B25" s="806">
        <f>IFERROR(CODE(MID(B$3,11,1)),61)</f>
        <v>223</v>
      </c>
      <c r="C25" s="807">
        <f t="shared" si="0"/>
        <v>2</v>
      </c>
      <c r="D25" s="807">
        <f t="shared" si="1"/>
        <v>2</v>
      </c>
      <c r="E25" s="808">
        <f t="shared" si="2"/>
        <v>3</v>
      </c>
      <c r="F25" s="804"/>
      <c r="G25" s="793"/>
      <c r="H25" s="800"/>
    </row>
    <row r="26" spans="2:8" x14ac:dyDescent="0.5">
      <c r="B26" s="801">
        <f>IFERROR(CODE(MID(B$4,1,1)),91)*2</f>
        <v>182</v>
      </c>
      <c r="C26" s="802">
        <f t="shared" si="0"/>
        <v>1</v>
      </c>
      <c r="D26" s="802">
        <f t="shared" si="1"/>
        <v>8</v>
      </c>
      <c r="E26" s="803">
        <f t="shared" si="2"/>
        <v>2</v>
      </c>
      <c r="F26" s="804"/>
      <c r="G26" s="793"/>
      <c r="H26" s="800"/>
    </row>
    <row r="27" spans="2:8" x14ac:dyDescent="0.5">
      <c r="B27" s="805">
        <f>IFERROR(CODE(MID(B$4,2,1)),91)*2</f>
        <v>182</v>
      </c>
      <c r="C27" s="799">
        <f t="shared" si="0"/>
        <v>1</v>
      </c>
      <c r="D27" s="799">
        <f t="shared" si="1"/>
        <v>8</v>
      </c>
      <c r="E27" s="804">
        <f t="shared" si="2"/>
        <v>2</v>
      </c>
      <c r="F27" s="804"/>
      <c r="G27" s="793"/>
      <c r="H27" s="800"/>
    </row>
    <row r="28" spans="2:8" x14ac:dyDescent="0.5">
      <c r="B28" s="805">
        <f>IFERROR(CODE(MID(B$4,3,1)),91)*2</f>
        <v>182</v>
      </c>
      <c r="C28" s="799">
        <f t="shared" si="0"/>
        <v>1</v>
      </c>
      <c r="D28" s="799">
        <f t="shared" si="1"/>
        <v>8</v>
      </c>
      <c r="E28" s="804">
        <f t="shared" si="2"/>
        <v>2</v>
      </c>
      <c r="F28" s="804"/>
      <c r="G28" s="793"/>
      <c r="H28" s="800"/>
    </row>
    <row r="29" spans="2:8" x14ac:dyDescent="0.5">
      <c r="B29" s="805">
        <f>IFERROR(CODE(MID(B$4,4,1)),91)*2</f>
        <v>182</v>
      </c>
      <c r="C29" s="799">
        <f t="shared" si="0"/>
        <v>1</v>
      </c>
      <c r="D29" s="799">
        <f t="shared" si="1"/>
        <v>8</v>
      </c>
      <c r="E29" s="804">
        <f t="shared" si="2"/>
        <v>2</v>
      </c>
      <c r="F29" s="804"/>
      <c r="G29" s="793"/>
      <c r="H29" s="800"/>
    </row>
    <row r="30" spans="2:8" x14ac:dyDescent="0.5">
      <c r="B30" s="805">
        <f>IFERROR(CODE(MID(B$4,5,1)),91)*2</f>
        <v>182</v>
      </c>
      <c r="C30" s="799">
        <f t="shared" si="0"/>
        <v>1</v>
      </c>
      <c r="D30" s="799">
        <f t="shared" si="1"/>
        <v>8</v>
      </c>
      <c r="E30" s="804">
        <f t="shared" si="2"/>
        <v>2</v>
      </c>
      <c r="F30" s="804"/>
      <c r="G30" s="793"/>
      <c r="H30" s="800"/>
    </row>
    <row r="31" spans="2:8" x14ac:dyDescent="0.5">
      <c r="B31" s="806">
        <f>IFERROR(CODE(MID(B$4,5,1)),91)*2</f>
        <v>182</v>
      </c>
      <c r="C31" s="807">
        <f t="shared" si="0"/>
        <v>1</v>
      </c>
      <c r="D31" s="807">
        <f t="shared" si="1"/>
        <v>8</v>
      </c>
      <c r="E31" s="808">
        <f t="shared" si="2"/>
        <v>2</v>
      </c>
      <c r="F31" s="804"/>
      <c r="G31" s="793"/>
      <c r="H31" s="800"/>
    </row>
    <row r="32" spans="2:8" x14ac:dyDescent="0.5">
      <c r="B32" s="805"/>
      <c r="C32" s="799">
        <f>SUM(C5:C31)</f>
        <v>26</v>
      </c>
      <c r="D32" s="799">
        <f>SUM(D5:D31)</f>
        <v>88</v>
      </c>
      <c r="E32" s="799">
        <f>SUM(E5:E31)</f>
        <v>122</v>
      </c>
      <c r="F32" s="804">
        <f>SUM(C32:E32)</f>
        <v>236</v>
      </c>
      <c r="G32" s="793"/>
      <c r="H32" s="800"/>
    </row>
    <row r="33" spans="2:8" x14ac:dyDescent="0.5">
      <c r="B33" s="806"/>
      <c r="C33" s="809" t="str">
        <f>TEXT(C32*2.7,"0000")</f>
        <v>0070</v>
      </c>
      <c r="D33" s="809" t="str">
        <f>TEXT(D32*3.6,"0000")</f>
        <v>0317</v>
      </c>
      <c r="E33" s="809" t="str">
        <f>TEXT(E32*2.2,"0000")</f>
        <v>0268</v>
      </c>
      <c r="F33" s="810" t="str">
        <f>TEXT(F32*0.95,"0000")</f>
        <v>0224</v>
      </c>
      <c r="G33" s="793"/>
      <c r="H33" s="800"/>
    </row>
    <row r="34" spans="2:8" x14ac:dyDescent="0.5">
      <c r="B34" s="811"/>
      <c r="C34" s="796"/>
      <c r="D34" s="812" t="s">
        <v>333</v>
      </c>
      <c r="E34" s="812" t="s">
        <v>334</v>
      </c>
      <c r="F34" s="796" t="s">
        <v>334</v>
      </c>
      <c r="G34" s="812" t="s">
        <v>335</v>
      </c>
      <c r="H34" s="813"/>
    </row>
    <row r="35" spans="2:8" x14ac:dyDescent="0.5">
      <c r="B35" s="814" t="e">
        <f>+C32+B46/2</f>
        <v>#VALUE!</v>
      </c>
      <c r="C35" s="815" t="e">
        <f>_xlfn.NUMBERVALUE(RIGHT(B35,3))</f>
        <v>#VALUE!</v>
      </c>
      <c r="D35" s="816" t="e">
        <f>IF(C35&lt;65,65+C35/2,C35)</f>
        <v>#VALUE!</v>
      </c>
      <c r="E35" s="817" t="e">
        <f>IF(D35&gt;122,D35*0.5+5,D35)</f>
        <v>#VALUE!</v>
      </c>
      <c r="F35" s="817" t="e">
        <f>IF(E35&gt;122,122-E35/100*3,E35)</f>
        <v>#VALUE!</v>
      </c>
      <c r="G35" s="817" t="e">
        <f>IF(AND(F35&gt;90,F35&lt;97),F35+10,F35)</f>
        <v>#VALUE!</v>
      </c>
      <c r="H35" s="818" t="e">
        <f>CHAR(INT(G35))</f>
        <v>#VALUE!</v>
      </c>
    </row>
    <row r="36" spans="2:8" x14ac:dyDescent="0.5">
      <c r="B36" s="814">
        <f>E6*10+E16*10+C19+C10+D21+E32/3</f>
        <v>184</v>
      </c>
      <c r="C36" s="815">
        <f>_xlfn.NUMBERVALUE(RIGHT(B36,3))</f>
        <v>184</v>
      </c>
      <c r="D36" s="816">
        <f>IF(C36&lt;65,65+C36/2,C36)</f>
        <v>184</v>
      </c>
      <c r="E36" s="817">
        <f>IF(D36&gt;122,D36*0.5+5,D36)</f>
        <v>97</v>
      </c>
      <c r="F36" s="817">
        <f>IF(E36&gt;122,122-E36/100*3,E36)</f>
        <v>97</v>
      </c>
      <c r="G36" s="817">
        <f>IF(AND(F36&gt;90,F36&lt;97),F36+10,F36)</f>
        <v>97</v>
      </c>
      <c r="H36" s="818" t="str">
        <f>CHAR(INT(G36))</f>
        <v>a</v>
      </c>
    </row>
    <row r="37" spans="2:8" x14ac:dyDescent="0.5">
      <c r="B37" s="814">
        <f>E7*10+E17*10+C20+C11+D22*2+D32</f>
        <v>192</v>
      </c>
      <c r="C37" s="815">
        <f>_xlfn.NUMBERVALUE(RIGHT(B37,3))</f>
        <v>192</v>
      </c>
      <c r="D37" s="816">
        <f>IF(C37&lt;65,65+C37/2,C37)</f>
        <v>192</v>
      </c>
      <c r="E37" s="817">
        <f>IF(D37&gt;122,D37*0.5+5,D37)</f>
        <v>101</v>
      </c>
      <c r="F37" s="817">
        <f>IF(E37&gt;122,122-E37/100*3,E37)</f>
        <v>101</v>
      </c>
      <c r="G37" s="817">
        <f>IF(AND(F37&gt;90,F37&lt;97),F37+10,F37)</f>
        <v>101</v>
      </c>
      <c r="H37" s="818" t="str">
        <f>CHAR(INT(G37))</f>
        <v>e</v>
      </c>
    </row>
    <row r="38" spans="2:8" x14ac:dyDescent="0.5">
      <c r="B38" s="814">
        <f>E8+E18+C21+C12+D23+C32+F4</f>
        <v>64</v>
      </c>
      <c r="C38" s="815">
        <f>_xlfn.NUMBERVALUE(RIGHT(B38,3))</f>
        <v>64</v>
      </c>
      <c r="D38" s="816">
        <f>IF(C38&lt;65,65+C38/2,C38)</f>
        <v>97</v>
      </c>
      <c r="E38" s="817">
        <f>IF(D38&gt;122,D38*0.5+5,D38)</f>
        <v>97</v>
      </c>
      <c r="F38" s="817">
        <f>IF(E38&gt;122,122-E38/100*3,E38)</f>
        <v>97</v>
      </c>
      <c r="G38" s="817">
        <f>IF(AND(F38&gt;90,F38&lt;97),F38+10,F38)</f>
        <v>97</v>
      </c>
      <c r="H38" s="818" t="str">
        <f>CHAR(INT(G38))</f>
        <v>a</v>
      </c>
    </row>
    <row r="39" spans="2:8" x14ac:dyDescent="0.5">
      <c r="B39" s="819" t="e">
        <f>E9*10+E19+C22+C13+D24+B46+F32</f>
        <v>#VALUE!</v>
      </c>
      <c r="C39" s="820" t="e">
        <f>_xlfn.NUMBERVALUE(RIGHT(B39,3))</f>
        <v>#VALUE!</v>
      </c>
      <c r="D39" s="821" t="e">
        <f>IF(C39&lt;65,65+C39/2,C39)</f>
        <v>#VALUE!</v>
      </c>
      <c r="E39" s="822" t="e">
        <f>IF(D39&gt;122,D39*0.5+5,D39)</f>
        <v>#VALUE!</v>
      </c>
      <c r="F39" s="822" t="e">
        <f>IF(E39&gt;122,122-E39/100*3,E39)</f>
        <v>#VALUE!</v>
      </c>
      <c r="G39" s="822" t="e">
        <f>IF(AND(F39&gt;90,F39&lt;97),F39+10,F39)</f>
        <v>#VALUE!</v>
      </c>
      <c r="H39" s="823" t="e">
        <f>CHAR(INT(G39))</f>
        <v>#VALUE!</v>
      </c>
    </row>
    <row r="40" spans="2:8" x14ac:dyDescent="0.5">
      <c r="B40" s="824"/>
      <c r="C40" s="825"/>
      <c r="D40" s="825"/>
      <c r="E40" s="825"/>
      <c r="F40" s="826"/>
      <c r="G40" s="793"/>
      <c r="H40" s="800"/>
    </row>
    <row r="41" spans="2:8" x14ac:dyDescent="0.5">
      <c r="B41" s="827" t="e">
        <f>LEFT(B4,3)</f>
        <v>#VALUE!</v>
      </c>
      <c r="C41" s="799"/>
      <c r="D41" s="799"/>
      <c r="E41" s="799"/>
      <c r="F41" s="799"/>
      <c r="G41" s="799"/>
      <c r="H41" s="800"/>
    </row>
    <row r="42" spans="2:8" x14ac:dyDescent="0.5">
      <c r="B42" s="827" t="str">
        <f>TEXT(C33,"000")</f>
        <v>070</v>
      </c>
      <c r="C42" s="799"/>
      <c r="D42" s="799"/>
      <c r="E42" s="799"/>
      <c r="F42" s="799"/>
      <c r="G42" s="799"/>
      <c r="H42" s="800"/>
    </row>
    <row r="43" spans="2:8" x14ac:dyDescent="0.5">
      <c r="B43" s="827" t="str">
        <f>TEXT(D33,"000")</f>
        <v>317</v>
      </c>
      <c r="C43" s="799"/>
      <c r="D43" s="799"/>
      <c r="E43" s="799"/>
      <c r="F43" s="799"/>
      <c r="G43" s="799"/>
      <c r="H43" s="800"/>
    </row>
    <row r="44" spans="2:8" x14ac:dyDescent="0.5">
      <c r="B44" s="827" t="str">
        <f>TEXT(E33,"000")</f>
        <v>268</v>
      </c>
      <c r="C44" s="799"/>
      <c r="D44" s="799"/>
      <c r="E44" s="799"/>
      <c r="F44" s="799"/>
      <c r="G44" s="799"/>
      <c r="H44" s="800"/>
    </row>
    <row r="45" spans="2:8" x14ac:dyDescent="0.5">
      <c r="B45" s="827" t="str">
        <f>TEXT(F33,"000")</f>
        <v>224</v>
      </c>
      <c r="C45" s="799"/>
      <c r="D45" s="799"/>
      <c r="E45" s="799"/>
      <c r="F45" s="799"/>
      <c r="G45" s="799"/>
      <c r="H45" s="800"/>
    </row>
    <row r="46" spans="2:8" x14ac:dyDescent="0.5">
      <c r="B46" s="827" t="e">
        <f>RIGHT(B4,3)</f>
        <v>#VALUE!</v>
      </c>
      <c r="C46" s="799"/>
      <c r="D46" s="799"/>
      <c r="E46" s="799"/>
      <c r="F46" s="799"/>
      <c r="G46" s="799"/>
      <c r="H46" s="800"/>
    </row>
    <row r="47" spans="2:8" ht="16.149999999999999" thickBot="1" x14ac:dyDescent="0.55000000000000004">
      <c r="B47" s="805"/>
      <c r="C47" s="799"/>
      <c r="D47" s="799"/>
      <c r="E47" s="799"/>
      <c r="F47" s="799"/>
      <c r="G47" s="799"/>
      <c r="H47" s="800"/>
    </row>
    <row r="48" spans="2:8" ht="16.149999999999999" thickBot="1" x14ac:dyDescent="0.55000000000000004">
      <c r="B48" s="828" t="e">
        <f>B41&amp;H35&amp;B42&amp;H36&amp;B43&amp;H37&amp;B44&amp;H38&amp;B46&amp;H39&amp;B45</f>
        <v>#VALUE!</v>
      </c>
      <c r="C48" s="829"/>
      <c r="D48" s="799"/>
      <c r="E48" s="799" t="e">
        <f>LEFT(B48,3)</f>
        <v>#VALUE!</v>
      </c>
      <c r="F48" s="799" t="e">
        <f>RIGHT(B48,7)</f>
        <v>#VALUE!</v>
      </c>
      <c r="G48" s="799"/>
      <c r="H48" s="800"/>
    </row>
    <row r="49" spans="1:8" x14ac:dyDescent="0.5">
      <c r="B49" s="805"/>
      <c r="C49" s="799"/>
      <c r="D49" s="799"/>
      <c r="E49" s="799" t="e">
        <f>LEFT(F48,3)</f>
        <v>#VALUE!</v>
      </c>
      <c r="F49" s="799"/>
      <c r="G49" s="799"/>
      <c r="H49" s="800"/>
    </row>
    <row r="50" spans="1:8" ht="16.149999999999999" thickBot="1" x14ac:dyDescent="0.55000000000000004">
      <c r="B50" s="830"/>
      <c r="C50" s="831"/>
      <c r="D50" s="831"/>
      <c r="E50" s="832" t="e">
        <f>E48*1000+E49</f>
        <v>#VALUE!</v>
      </c>
      <c r="F50" s="831"/>
      <c r="G50" s="831"/>
      <c r="H50" s="833"/>
    </row>
    <row r="51" spans="1:8" x14ac:dyDescent="0.5">
      <c r="A51" s="788" t="str">
        <f>RIGHT(A50,3)</f>
        <v/>
      </c>
    </row>
  </sheetData>
  <sheetProtection password="B984" sheet="1" objects="1" scenarios="1" selectLockedCells="1" selectUnlockedCells="1"/>
  <mergeCells count="2">
    <mergeCell ref="B2:E2"/>
    <mergeCell ref="B3:E3"/>
  </mergeCells>
  <dataValidations disablePrompts="1" count="2">
    <dataValidation operator="lessThan" allowBlank="1" showInputMessage="1" showErrorMessage="1" error="Maximal 40 Zeichen." sqref="B3:E3" xr:uid="{4DB7A285-9DAE-4FA6-8861-64CC43C5F856}"/>
    <dataValidation operator="lessThan" allowBlank="1" showInputMessage="1" showErrorMessage="1" error="Maximal 40 Zeichen" sqref="B2:E2" xr:uid="{8FDD301B-C4AA-4FAC-957A-AE4353077954}"/>
  </dataValidations>
  <pageMargins left="0.7" right="0.7" top="0.78740157499999996" bottom="0.78740157499999996" header="0.3" footer="0.3"/>
  <pageSetup paperSize="9" orientation="portrait" r:id="rId1"/>
  <headerFooter>
    <oddFooter>&amp;L&amp;10K3-Stammdaten
Seite: &amp;P von &amp;N&amp;R&amp;10&amp;F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P157"/>
  <sheetViews>
    <sheetView showGridLines="0" zoomScaleNormal="100" workbookViewId="0">
      <selection activeCell="I3" sqref="I3"/>
    </sheetView>
  </sheetViews>
  <sheetFormatPr baseColWidth="10" defaultColWidth="10.6640625" defaultRowHeight="15.75" x14ac:dyDescent="0.5"/>
  <cols>
    <col min="1" max="1" width="24" style="11" customWidth="1"/>
    <col min="2" max="2" width="10.77734375" style="11" customWidth="1"/>
    <col min="3" max="6" width="9.6640625" style="11" customWidth="1"/>
    <col min="7" max="7" width="18.77734375" style="11" customWidth="1"/>
    <col min="8" max="8" width="12.77734375" style="11" customWidth="1"/>
    <col min="9" max="9" width="21.33203125" style="11" customWidth="1"/>
    <col min="10" max="10" width="4.33203125" style="11" customWidth="1"/>
    <col min="11" max="11" width="10.6640625" style="11"/>
    <col min="12" max="12" width="20" style="765" hidden="1" customWidth="1"/>
    <col min="13" max="13" width="4.88671875" style="765" hidden="1" customWidth="1"/>
    <col min="14" max="14" width="6.33203125" style="765" hidden="1" customWidth="1"/>
    <col min="15" max="15" width="4.88671875" style="765" hidden="1" customWidth="1"/>
    <col min="16" max="16" width="6.44140625" style="765" hidden="1" customWidth="1"/>
    <col min="17" max="17" width="0" style="11" hidden="1" customWidth="1"/>
    <col min="18" max="16384" width="10.6640625" style="11"/>
  </cols>
  <sheetData>
    <row r="1" spans="1:16" ht="33" customHeight="1" x14ac:dyDescent="0.5">
      <c r="A1" s="1308" t="s">
        <v>143</v>
      </c>
      <c r="B1" s="1309"/>
      <c r="C1" s="1309"/>
      <c r="D1" s="1309"/>
      <c r="E1" s="1309"/>
      <c r="F1" s="1310"/>
      <c r="G1" s="1340" t="s">
        <v>649</v>
      </c>
      <c r="H1" s="1299" t="s">
        <v>650</v>
      </c>
      <c r="I1" s="1300"/>
      <c r="J1" s="1301"/>
      <c r="L1" s="1286" t="str">
        <f ca="1">A7&amp;A8&amp;A9&amp;A10&amp;A11&amp;A12&amp;A13&amp;A14&amp;A15&amp;A16&amp;A17&amp;A18&amp;A19&amp;A20&amp;A21&amp;A22&amp;A23&amp;A24&amp;A25&amp;A26&amp;A27&amp;A28&amp;A29&amp;A30&amp;A31&amp;A32&amp;A33</f>
        <v>Facharbeiter (&gt; 2Verwendungsjahr)Facharbeiter (2. Verwendungsjahr)Facharbeiter (1. Verwendungsjahr)Qualifizierter HelferHelfer0000000000000000000000</v>
      </c>
      <c r="M1" s="1286"/>
      <c r="N1" s="1286"/>
      <c r="O1" s="1286"/>
      <c r="P1" s="1286"/>
    </row>
    <row r="2" spans="1:16" ht="33" customHeight="1" x14ac:dyDescent="0.5">
      <c r="A2" s="1342" t="str">
        <f>"Übernahme aus Quelldatei '"&amp;I2&amp;J2&amp;"' Blattname '"&amp;I3&amp;"'"</f>
        <v>Übernahme aus Quelldatei 'K3_Quelle.xlsx' Blattname 'Hafner_Platten_Fliesenl_23'</v>
      </c>
      <c r="B2" s="1343"/>
      <c r="C2" s="1343"/>
      <c r="D2" s="1343"/>
      <c r="E2" s="1343"/>
      <c r="F2" s="1344"/>
      <c r="G2" s="1341"/>
      <c r="H2" s="966" t="s">
        <v>647</v>
      </c>
      <c r="I2" s="1195" t="s">
        <v>703</v>
      </c>
      <c r="J2" s="14" t="s">
        <v>280</v>
      </c>
      <c r="L2" s="765" t="s">
        <v>432</v>
      </c>
      <c r="M2" s="765">
        <f ca="1">IFERROR(SEARCH('Lizenz u lies mich'!$O33,B3),0)</f>
        <v>1</v>
      </c>
      <c r="N2" s="765">
        <f ca="1">IF(M2&gt;1,5,0)</f>
        <v>0</v>
      </c>
      <c r="O2" s="765">
        <f ca="1">IFERROR(SEARCH('Lizenz u lies mich'!$O33,Stammdaten!$L$1,M2+1),0)</f>
        <v>2</v>
      </c>
      <c r="P2" s="765">
        <f t="shared" ref="P2:P8" ca="1" si="0">IF(O2&gt;1,1,0)</f>
        <v>1</v>
      </c>
    </row>
    <row r="3" spans="1:16" ht="33" customHeight="1" x14ac:dyDescent="0.5">
      <c r="A3" s="288" t="s">
        <v>296</v>
      </c>
      <c r="B3" s="1319" t="str">
        <f ca="1">INDIRECT(CONCATENATE("[",$I$2,".xlsx]",$I$4,"!B3"))</f>
        <v>KollV Hafner, Platten- und Fliesenleger</v>
      </c>
      <c r="C3" s="1320"/>
      <c r="D3" s="1320"/>
      <c r="E3" s="1320"/>
      <c r="F3" s="1321"/>
      <c r="G3" s="1313" t="str">
        <f>IF(_Verband&gt;1,"Sie verwenden eine 'Verbandslizenzierung'. Die KollV-Bezeichnung ist auf die vom Verband vertretene Branche unveränderbar eingeschränkt!","")</f>
        <v/>
      </c>
      <c r="H3" s="967" t="s">
        <v>648</v>
      </c>
      <c r="I3" s="518" t="s">
        <v>705</v>
      </c>
      <c r="J3" s="14"/>
      <c r="L3" s="765" t="s">
        <v>433</v>
      </c>
      <c r="M3" s="765">
        <f ca="1">IFERROR(SEARCH('Lizenz u lies mich'!$O34,Stammdaten!$L$1),0)</f>
        <v>1</v>
      </c>
      <c r="N3" s="765">
        <f t="shared" ref="N3:N8" ca="1" si="1">IF(M3&gt;1,1,0)</f>
        <v>0</v>
      </c>
      <c r="O3" s="765">
        <f ca="1">IFERROR(SEARCH('Lizenz u lies mich'!$O34,Stammdaten!$L$1,M3+1),0)</f>
        <v>2</v>
      </c>
      <c r="P3" s="765">
        <f t="shared" ca="1" si="0"/>
        <v>1</v>
      </c>
    </row>
    <row r="4" spans="1:16" ht="15.75" customHeight="1" x14ac:dyDescent="0.5">
      <c r="A4" s="289" t="s">
        <v>123</v>
      </c>
      <c r="B4" s="290">
        <f ca="1">INDIRECT(CONCATENATE("[",$I$2,".xlsx]",$I$4,"!B4"))</f>
        <v>45047</v>
      </c>
      <c r="C4" s="515" t="s">
        <v>422</v>
      </c>
      <c r="D4" s="516">
        <f ca="1">INDIRECT(CONCATENATE("[",$I$2,".xlsx]",$I$4,"!D4"))</f>
        <v>1</v>
      </c>
      <c r="E4" s="1311" t="s">
        <v>255</v>
      </c>
      <c r="F4" s="1312"/>
      <c r="G4" s="1314"/>
      <c r="I4" s="423" t="str">
        <f>I3</f>
        <v>Hafner_Platten_Fliesenl_23</v>
      </c>
      <c r="J4" s="194"/>
      <c r="M4" s="765">
        <f ca="1">IFERROR(SEARCH('Lizenz u lies mich'!$O35,Stammdaten!$L$1),0)</f>
        <v>1</v>
      </c>
      <c r="N4" s="765">
        <f t="shared" ca="1" si="1"/>
        <v>0</v>
      </c>
      <c r="O4" s="765">
        <f ca="1">IFERROR(SEARCH('Lizenz u lies mich'!$O35,Stammdaten!$L$1,M4+1),0)</f>
        <v>2</v>
      </c>
      <c r="P4" s="765">
        <f t="shared" ca="1" si="0"/>
        <v>1</v>
      </c>
    </row>
    <row r="5" spans="1:16" x14ac:dyDescent="0.5">
      <c r="A5" s="1350" t="s">
        <v>27</v>
      </c>
      <c r="B5" s="1350" t="s">
        <v>272</v>
      </c>
      <c r="C5" s="1350" t="s">
        <v>112</v>
      </c>
      <c r="D5" s="1345" t="s">
        <v>177</v>
      </c>
      <c r="E5" s="1350" t="s">
        <v>144</v>
      </c>
      <c r="F5" s="1345" t="s">
        <v>85</v>
      </c>
      <c r="G5" s="1314"/>
      <c r="H5" s="1316" t="s">
        <v>323</v>
      </c>
      <c r="I5" s="1317"/>
      <c r="J5" s="1318"/>
      <c r="M5" s="765">
        <f ca="1">IFERROR(SEARCH('Lizenz u lies mich'!$O36,Stammdaten!$L$1),0)</f>
        <v>1</v>
      </c>
      <c r="N5" s="765">
        <f t="shared" ca="1" si="1"/>
        <v>0</v>
      </c>
      <c r="O5" s="765">
        <f ca="1">IFERROR(SEARCH('Lizenz u lies mich'!$O36,Stammdaten!$L$1,M5+1),0)</f>
        <v>2</v>
      </c>
      <c r="P5" s="765">
        <f t="shared" ca="1" si="0"/>
        <v>1</v>
      </c>
    </row>
    <row r="6" spans="1:16" x14ac:dyDescent="0.5">
      <c r="A6" s="1351"/>
      <c r="B6" s="1351"/>
      <c r="C6" s="1351"/>
      <c r="D6" s="1346"/>
      <c r="E6" s="1351"/>
      <c r="F6" s="1346"/>
      <c r="G6" s="1314"/>
      <c r="H6" s="1362" t="str">
        <f>IF(_Verband&gt;1,"Einzig zulässiger KollV:","")</f>
        <v/>
      </c>
      <c r="I6" s="1302" t="str">
        <f>IF(_Verband&gt;1,'Lizenz u lies mich'!O29,"")</f>
        <v/>
      </c>
      <c r="J6" s="1303"/>
      <c r="M6" s="765">
        <f ca="1">IFERROR(SEARCH('Lizenz u lies mich'!$O37,Stammdaten!$L$1),0)</f>
        <v>1</v>
      </c>
      <c r="N6" s="765">
        <f t="shared" ca="1" si="1"/>
        <v>0</v>
      </c>
      <c r="O6" s="765">
        <f ca="1">IFERROR(SEARCH('Lizenz u lies mich'!$O37,Stammdaten!$L$1,M6+1),0)</f>
        <v>2</v>
      </c>
      <c r="P6" s="765">
        <f t="shared" ca="1" si="0"/>
        <v>1</v>
      </c>
    </row>
    <row r="7" spans="1:16" x14ac:dyDescent="0.5">
      <c r="A7" s="225" t="str">
        <f ca="1">INDIRECT(CONCATENATE("[",$I$2,".xlsx]",$I$4,"!A7"))</f>
        <v>Facharbeiter (&gt; 2Verwendungsjahr)</v>
      </c>
      <c r="B7" s="15">
        <f ca="1">INDIRECT(CONCATENATE("[",$I$2,".xlsx]",$I$4,"!B7"))</f>
        <v>16.36</v>
      </c>
      <c r="C7" s="226">
        <f ca="1">INDIRECT(CONCATENATE("[",$I$2,".xlsx]",$I$4,"!C7"))</f>
        <v>0</v>
      </c>
      <c r="D7" s="250">
        <f t="shared" ref="D7:D27" ca="1" si="2">B7*$D$4</f>
        <v>16.36</v>
      </c>
      <c r="E7" s="246">
        <f ca="1">INDIRECT(CONCATENATE("[",$I$2,".xlsx]",$I$4,"!E7"))</f>
        <v>0.15</v>
      </c>
      <c r="F7" s="250">
        <f ca="1">D7*E7</f>
        <v>2.4500000000000002</v>
      </c>
      <c r="G7" s="1314"/>
      <c r="H7" s="1363"/>
      <c r="I7" s="1304"/>
      <c r="J7" s="1305"/>
      <c r="M7" s="765">
        <f ca="1">IFERROR(SEARCH('Lizenz u lies mich'!$O38,Stammdaten!$L$1),0)</f>
        <v>1</v>
      </c>
      <c r="N7" s="765">
        <f t="shared" ca="1" si="1"/>
        <v>0</v>
      </c>
      <c r="O7" s="765">
        <f ca="1">IFERROR(SEARCH('Lizenz u lies mich'!$O38,Stammdaten!$L$1,M7+1),0)</f>
        <v>2</v>
      </c>
      <c r="P7" s="765">
        <f t="shared" ca="1" si="0"/>
        <v>1</v>
      </c>
    </row>
    <row r="8" spans="1:16" x14ac:dyDescent="0.5">
      <c r="A8" s="225" t="str">
        <f ca="1">INDIRECT(CONCATENATE("[",$I$2,".xlsx]",$I$4,"!A8"))</f>
        <v>Facharbeiter (2. Verwendungsjahr)</v>
      </c>
      <c r="B8" s="15">
        <f ca="1">INDIRECT(CONCATENATE("[",$I$2,".xlsx]",$I$4,"!B8"))</f>
        <v>15.54</v>
      </c>
      <c r="C8" s="226">
        <f ca="1">INDIRECT(CONCATENATE("[",$I$2,".xlsx]",$I$4,"!C8"))</f>
        <v>0</v>
      </c>
      <c r="D8" s="250">
        <f t="shared" ca="1" si="2"/>
        <v>15.54</v>
      </c>
      <c r="E8" s="246">
        <f ca="1">INDIRECT(CONCATENATE("[",$I$2,".xlsx]",$I$4,"!E8"))</f>
        <v>0.15</v>
      </c>
      <c r="F8" s="250">
        <f t="shared" ref="F8:F27" ca="1" si="3">D8*E8</f>
        <v>2.33</v>
      </c>
      <c r="G8" s="1314"/>
      <c r="H8" s="1364"/>
      <c r="I8" s="1306"/>
      <c r="J8" s="1307"/>
      <c r="M8" s="765">
        <f ca="1">IFERROR(SEARCH('Lizenz u lies mich'!$O39,Stammdaten!$L$1),0)</f>
        <v>1</v>
      </c>
      <c r="N8" s="765">
        <f t="shared" ca="1" si="1"/>
        <v>0</v>
      </c>
      <c r="O8" s="765">
        <f ca="1">IFERROR(SEARCH('Lizenz u lies mich'!$O39,Stammdaten!$L$1,M8+1),0)</f>
        <v>2</v>
      </c>
      <c r="P8" s="765">
        <f t="shared" ca="1" si="0"/>
        <v>1</v>
      </c>
    </row>
    <row r="9" spans="1:16" ht="15.75" customHeight="1" x14ac:dyDescent="0.5">
      <c r="A9" s="225" t="str">
        <f ca="1">INDIRECT(CONCATENATE("[",$I$2,".xlsx]",$I$4,"!A9"))</f>
        <v>Facharbeiter (1. Verwendungsjahr)</v>
      </c>
      <c r="B9" s="15">
        <f ca="1">INDIRECT(CONCATENATE("[",$I$2,".xlsx]",$I$4,"!B9"))</f>
        <v>14.66</v>
      </c>
      <c r="C9" s="226">
        <f ca="1">INDIRECT(CONCATENATE("[",$I$2,".xlsx]",$I$4,"!C9"))</f>
        <v>0</v>
      </c>
      <c r="D9" s="250">
        <f t="shared" ca="1" si="2"/>
        <v>14.66</v>
      </c>
      <c r="E9" s="246">
        <f ca="1">INDIRECT(CONCATENATE("[",$I$2,".xlsx]",$I$4,"!E9"))</f>
        <v>0.1</v>
      </c>
      <c r="F9" s="250">
        <f t="shared" ca="1" si="3"/>
        <v>1.47</v>
      </c>
      <c r="G9" s="1314"/>
      <c r="H9" s="13" t="s">
        <v>278</v>
      </c>
      <c r="I9" s="260">
        <f ca="1">B4</f>
        <v>45047</v>
      </c>
      <c r="J9" s="14"/>
      <c r="L9" s="765" t="s">
        <v>423</v>
      </c>
      <c r="N9" s="766">
        <f ca="1">SUM(N2:N8)</f>
        <v>0</v>
      </c>
      <c r="P9" s="766">
        <f ca="1">SUM(P2:P8)</f>
        <v>7</v>
      </c>
    </row>
    <row r="10" spans="1:16" ht="15.75" customHeight="1" x14ac:dyDescent="0.5">
      <c r="A10" s="225" t="str">
        <f ca="1">INDIRECT(CONCATENATE("[",$I$2,".xlsx]",$I$4,"!A10"))</f>
        <v>Qualifizierter Helfer</v>
      </c>
      <c r="B10" s="15">
        <f ca="1">INDIRECT(CONCATENATE("[",$I$2,".xlsx]",$I$4,"!B10"))</f>
        <v>13.92</v>
      </c>
      <c r="C10" s="226">
        <f ca="1">INDIRECT(CONCATENATE("[",$I$2,".xlsx]",$I$4,"!C10"))</f>
        <v>0</v>
      </c>
      <c r="D10" s="250">
        <f t="shared" ca="1" si="2"/>
        <v>13.92</v>
      </c>
      <c r="E10" s="246">
        <f ca="1">INDIRECT(CONCATENATE("[",$I$2,".xlsx]",$I$4,"!E10"))</f>
        <v>0.1</v>
      </c>
      <c r="F10" s="250">
        <f t="shared" ca="1" si="3"/>
        <v>1.39</v>
      </c>
      <c r="G10" s="1315"/>
      <c r="H10" s="13" t="s">
        <v>279</v>
      </c>
      <c r="I10" s="260">
        <f ca="1">B130</f>
        <v>44927</v>
      </c>
      <c r="J10" s="14"/>
      <c r="L10" s="765" t="s">
        <v>429</v>
      </c>
      <c r="M10" s="765" t="str">
        <f>'Lizenz u lies mich'!O40</f>
        <v/>
      </c>
      <c r="N10" s="765">
        <f ca="1">IFERROR(IF(M10=C37,5,-10),-10)</f>
        <v>-10</v>
      </c>
    </row>
    <row r="11" spans="1:16" ht="15.75" customHeight="1" x14ac:dyDescent="0.5">
      <c r="A11" s="225" t="str">
        <f ca="1">INDIRECT(CONCATENATE("[",$I$2,".xlsx]",$I$4,"!A11"))</f>
        <v>Helfer</v>
      </c>
      <c r="B11" s="15">
        <f ca="1">INDIRECT(CONCATENATE("[",$I$2,".xlsx]",$I$4,"!B11"))</f>
        <v>13.37</v>
      </c>
      <c r="C11" s="226">
        <f ca="1">INDIRECT(CONCATENATE("[",$I$2,".xlsx]",$I$4,"!C11"))</f>
        <v>0</v>
      </c>
      <c r="D11" s="250">
        <f t="shared" ca="1" si="2"/>
        <v>13.37</v>
      </c>
      <c r="E11" s="246">
        <f ca="1">INDIRECT(CONCATENATE("[",$I$2,".xlsx]",$I$4,"!E11"))</f>
        <v>0.05</v>
      </c>
      <c r="F11" s="250">
        <f t="shared" ca="1" si="3"/>
        <v>0.67</v>
      </c>
      <c r="G11" s="1291" t="str">
        <f ca="1">IFERROR(IF((TODAY()-365)&gt;I9,"KollV ist älter als 1 Jahr!!",""),"Quelldatei geöffnet?")</f>
        <v/>
      </c>
      <c r="H11" s="1297" t="str">
        <f ca="1">IF(ISNUMBER(B7),"","Bitte einen GÜLTIGEN Dateinamen für die QUELLDATEN-Datei und die Bezeichnung des Tabellenblattes in dieser Datei angeben (siehe STAMMDATEN).
 Quelldaten-Datei MUSS geöffnet sein!
Beachten Sie die ANLEITUNG (www.bauwesen.at/k3)!")</f>
        <v/>
      </c>
      <c r="I11" s="1297"/>
      <c r="J11" s="1297"/>
      <c r="L11" s="765" t="s">
        <v>547</v>
      </c>
      <c r="M11" s="765">
        <f ca="1">IFERROR(SEARCH("qwert99",L1),0)</f>
        <v>0</v>
      </c>
      <c r="N11" s="765">
        <f ca="1">IF(M11&gt;1,25,0)</f>
        <v>0</v>
      </c>
    </row>
    <row r="12" spans="1:16" ht="15.75" customHeight="1" x14ac:dyDescent="0.5">
      <c r="A12" s="225">
        <f ca="1">INDIRECT(CONCATENATE("[",$I$2,".xlsx]",$I$4,"!A12"))</f>
        <v>0</v>
      </c>
      <c r="B12" s="15">
        <f ca="1">INDIRECT(CONCATENATE("[",$I$2,".xlsx]",$I$4,"!B12"))</f>
        <v>0</v>
      </c>
      <c r="C12" s="226">
        <f ca="1">INDIRECT(CONCATENATE("[",$I$2,".xlsx]",$I$4,"!C12"))</f>
        <v>0</v>
      </c>
      <c r="D12" s="250">
        <f t="shared" ca="1" si="2"/>
        <v>0</v>
      </c>
      <c r="E12" s="246">
        <f ca="1">INDIRECT(CONCATENATE("[",$I$2,".xlsx]",$I$4,"!E12"))</f>
        <v>0</v>
      </c>
      <c r="F12" s="250">
        <f t="shared" ca="1" si="3"/>
        <v>0</v>
      </c>
      <c r="G12" s="1293"/>
      <c r="H12" s="1298"/>
      <c r="I12" s="1298"/>
      <c r="J12" s="1298"/>
      <c r="L12" s="766" t="s">
        <v>424</v>
      </c>
      <c r="M12" s="766"/>
      <c r="N12" s="766">
        <f ca="1">N9+P9+N10+N11</f>
        <v>-3</v>
      </c>
      <c r="O12" s="766"/>
      <c r="P12" s="766" t="str">
        <f ca="1">IF(OR(N12&gt;13,_Verband&lt;2),"OK_KV!","f")</f>
        <v>OK_KV!</v>
      </c>
    </row>
    <row r="13" spans="1:16" ht="15.75" customHeight="1" x14ac:dyDescent="0.5">
      <c r="A13" s="225">
        <f ca="1">INDIRECT(CONCATENATE("[",$I$2,".xlsx]",$I$4,"!A13"))</f>
        <v>0</v>
      </c>
      <c r="B13" s="15">
        <f ca="1">INDIRECT(CONCATENATE("[",$I$2,".xlsx]",$I$4,"!B13"))</f>
        <v>0</v>
      </c>
      <c r="C13" s="226">
        <f ca="1">INDIRECT(CONCATENATE("[",$I$2,".xlsx]",$I$4,"!C13"))</f>
        <v>0</v>
      </c>
      <c r="D13" s="250">
        <f t="shared" ca="1" si="2"/>
        <v>0</v>
      </c>
      <c r="E13" s="246">
        <f ca="1">INDIRECT(CONCATENATE("[",$I$2,".xlsx]",$I$4,"!E13"))</f>
        <v>0</v>
      </c>
      <c r="F13" s="250">
        <f t="shared" ca="1" si="3"/>
        <v>0</v>
      </c>
      <c r="G13" s="1293"/>
      <c r="H13" s="1298"/>
      <c r="I13" s="1298"/>
      <c r="J13" s="1298"/>
      <c r="L13" s="1288" t="s">
        <v>430</v>
      </c>
      <c r="M13" s="1288"/>
      <c r="N13" s="1288"/>
      <c r="O13" s="1288"/>
      <c r="P13" s="1288"/>
    </row>
    <row r="14" spans="1:16" ht="15.75" customHeight="1" x14ac:dyDescent="0.5">
      <c r="A14" s="225">
        <f ca="1">INDIRECT(CONCATENATE("[",$I$2,".xlsx]",$I$4,"!A14"))</f>
        <v>0</v>
      </c>
      <c r="B14" s="15">
        <f ca="1">INDIRECT(CONCATENATE("[",$I$2,".xlsx]",$I$4,"!B14"))</f>
        <v>0</v>
      </c>
      <c r="C14" s="226">
        <f ca="1">INDIRECT(CONCATENATE("[",$I$2,".xlsx]",$I$4,"!C14"))</f>
        <v>0</v>
      </c>
      <c r="D14" s="250">
        <f t="shared" ca="1" si="2"/>
        <v>0</v>
      </c>
      <c r="E14" s="246">
        <f ca="1">INDIRECT(CONCATENATE("[",$I$2,".xlsx]",$I$4,"!E14"))</f>
        <v>0</v>
      </c>
      <c r="F14" s="250">
        <f t="shared" ca="1" si="3"/>
        <v>0</v>
      </c>
      <c r="G14" s="1287" t="str">
        <f ca="1">IFERROR(IF(_OK_KV?&lt;&gt;"OK_KV!",L13,""),"Quelldatei geöffnet? Vorhandenes Blatt ausgewählt? Zulässigen KollV verwendet (bei Verbandslizenzierung für Mitglieder)?")</f>
        <v/>
      </c>
      <c r="H14" s="1298"/>
      <c r="I14" s="1298"/>
      <c r="J14" s="1298"/>
    </row>
    <row r="15" spans="1:16" ht="15.75" customHeight="1" x14ac:dyDescent="0.5">
      <c r="A15" s="225">
        <f ca="1">INDIRECT(CONCATENATE("[",$I$2,".xlsx]",$I$4,"!A15"))</f>
        <v>0</v>
      </c>
      <c r="B15" s="15">
        <f ca="1">INDIRECT(CONCATENATE("[",$I$2,".xlsx]",$I$4,"!B15"))</f>
        <v>0</v>
      </c>
      <c r="C15" s="226">
        <f ca="1">INDIRECT(CONCATENATE("[",$I$2,".xlsx]",$I$4,"!C15"))</f>
        <v>0</v>
      </c>
      <c r="D15" s="250">
        <f t="shared" ca="1" si="2"/>
        <v>0</v>
      </c>
      <c r="E15" s="246">
        <f ca="1">INDIRECT(CONCATENATE("[",$I$2,".xlsx]",$I$4,"!E15"))</f>
        <v>0</v>
      </c>
      <c r="F15" s="250">
        <f t="shared" ca="1" si="3"/>
        <v>0</v>
      </c>
      <c r="G15" s="1287"/>
      <c r="H15" s="1298"/>
      <c r="I15" s="1298"/>
      <c r="J15" s="1298"/>
    </row>
    <row r="16" spans="1:16" ht="15.75" customHeight="1" x14ac:dyDescent="0.5">
      <c r="A16" s="225">
        <f ca="1">INDIRECT(CONCATENATE("[",$I$2,".xlsx]",$I$4,"!A16"))</f>
        <v>0</v>
      </c>
      <c r="B16" s="15">
        <f ca="1">INDIRECT(CONCATENATE("[",$I$2,".xlsx]",$I$4,"!B16"))</f>
        <v>0</v>
      </c>
      <c r="C16" s="226">
        <f ca="1">INDIRECT(CONCATENATE("[",$I$2,".xlsx]",$I$4,"!C16"))</f>
        <v>0</v>
      </c>
      <c r="D16" s="250">
        <f t="shared" ca="1" si="2"/>
        <v>0</v>
      </c>
      <c r="E16" s="246">
        <f ca="1">INDIRECT(CONCATENATE("[",$I$2,".xlsx]",$I$4,"!E16"))</f>
        <v>0</v>
      </c>
      <c r="F16" s="250">
        <f t="shared" ca="1" si="3"/>
        <v>0</v>
      </c>
      <c r="G16" s="1287"/>
      <c r="H16" s="1298"/>
      <c r="I16" s="1298"/>
      <c r="J16" s="1298"/>
    </row>
    <row r="17" spans="1:10" ht="15.75" customHeight="1" x14ac:dyDescent="0.5">
      <c r="A17" s="225">
        <f ca="1">INDIRECT(CONCATENATE("[",$I$2,".xlsx]",$I$4,"!A17"))</f>
        <v>0</v>
      </c>
      <c r="B17" s="15">
        <f ca="1">INDIRECT(CONCATENATE("[",$I$2,".xlsx]",$I$4,"!B17"))</f>
        <v>0</v>
      </c>
      <c r="C17" s="226">
        <f ca="1">INDIRECT(CONCATENATE("[",$I$2,".xlsx]",$I$4,"!C17"))</f>
        <v>0</v>
      </c>
      <c r="D17" s="250">
        <f t="shared" ca="1" si="2"/>
        <v>0</v>
      </c>
      <c r="E17" s="246">
        <f ca="1">INDIRECT(CONCATENATE("[",$I$2,".xlsx]",$I$4,"!E17"))</f>
        <v>0</v>
      </c>
      <c r="F17" s="250">
        <f t="shared" ca="1" si="3"/>
        <v>0</v>
      </c>
      <c r="G17" s="1287"/>
      <c r="H17" s="1298"/>
      <c r="I17" s="1298"/>
      <c r="J17" s="1298"/>
    </row>
    <row r="18" spans="1:10" ht="15.75" customHeight="1" x14ac:dyDescent="0.5">
      <c r="A18" s="225">
        <f ca="1">INDIRECT(CONCATENATE("[",$I$2,".xlsx]",$I$4,"!A18"))</f>
        <v>0</v>
      </c>
      <c r="B18" s="15">
        <f ca="1">INDIRECT(CONCATENATE("[",$I$2,".xlsx]",$I$4,"!B18"))</f>
        <v>0</v>
      </c>
      <c r="C18" s="226">
        <f ca="1">INDIRECT(CONCATENATE("[",$I$2,".xlsx]",$I$4,"!C18"))</f>
        <v>0</v>
      </c>
      <c r="D18" s="250">
        <f t="shared" ca="1" si="2"/>
        <v>0</v>
      </c>
      <c r="E18" s="246">
        <f ca="1">INDIRECT(CONCATENATE("[",$I$2,".xlsx]",$I$4,"!E18"))</f>
        <v>0</v>
      </c>
      <c r="F18" s="250">
        <f t="shared" ca="1" si="3"/>
        <v>0</v>
      </c>
      <c r="G18" s="1287"/>
      <c r="H18" s="1298"/>
      <c r="I18" s="1298"/>
      <c r="J18" s="1298"/>
    </row>
    <row r="19" spans="1:10" x14ac:dyDescent="0.5">
      <c r="A19" s="225">
        <f ca="1">INDIRECT(CONCATENATE("[",$I$2,".xlsx]",$I$4,"!A19"))</f>
        <v>0</v>
      </c>
      <c r="B19" s="15">
        <f ca="1">INDIRECT(CONCATENATE("[",$I$2,".xlsx]",$I$4,"!B19"))</f>
        <v>0</v>
      </c>
      <c r="C19" s="226">
        <f ca="1">INDIRECT(CONCATENATE("[",$I$2,".xlsx]",$I$4,"!C19"))</f>
        <v>0</v>
      </c>
      <c r="D19" s="250">
        <f t="shared" ca="1" si="2"/>
        <v>0</v>
      </c>
      <c r="E19" s="246">
        <f ca="1">INDIRECT(CONCATENATE("[",$I$2,".xlsx]",$I$4,"!E19"))</f>
        <v>0</v>
      </c>
      <c r="F19" s="250">
        <f t="shared" ca="1" si="3"/>
        <v>0</v>
      </c>
      <c r="G19" s="1287"/>
      <c r="H19" s="1298"/>
      <c r="I19" s="1298"/>
      <c r="J19" s="1298"/>
    </row>
    <row r="20" spans="1:10" x14ac:dyDescent="0.5">
      <c r="A20" s="225">
        <f ca="1">INDIRECT(CONCATENATE("[",$I$2,".xlsx]",$I$4,"!A20"))</f>
        <v>0</v>
      </c>
      <c r="B20" s="15">
        <f ca="1">INDIRECT(CONCATENATE("[",$I$2,".xlsx]",$I$4,"!B20"))</f>
        <v>0</v>
      </c>
      <c r="C20" s="226">
        <f ca="1">INDIRECT(CONCATENATE("[",$I$2,".xlsx]",$I$4,"!C20"))</f>
        <v>0</v>
      </c>
      <c r="D20" s="250">
        <f t="shared" ca="1" si="2"/>
        <v>0</v>
      </c>
      <c r="E20" s="246">
        <f ca="1">INDIRECT(CONCATENATE("[",$I$2,".xlsx]",$I$4,"!E20"))</f>
        <v>0</v>
      </c>
      <c r="F20" s="250">
        <f t="shared" ca="1" si="3"/>
        <v>0</v>
      </c>
      <c r="G20" s="1287"/>
      <c r="H20" s="1298"/>
      <c r="I20" s="1298"/>
      <c r="J20" s="1298"/>
    </row>
    <row r="21" spans="1:10" x14ac:dyDescent="0.5">
      <c r="A21" s="225">
        <f ca="1">INDIRECT(CONCATENATE("[",$I$2,".xlsx]",$I$4,"!A21"))</f>
        <v>0</v>
      </c>
      <c r="B21" s="15">
        <f ca="1">INDIRECT(CONCATENATE("[",$I$2,".xlsx]",$I$4,"!B21"))</f>
        <v>0</v>
      </c>
      <c r="C21" s="226">
        <f ca="1">INDIRECT(CONCATENATE("[",$I$2,".xlsx]",$I$4,"!C21"))</f>
        <v>0</v>
      </c>
      <c r="D21" s="250">
        <f t="shared" ca="1" si="2"/>
        <v>0</v>
      </c>
      <c r="E21" s="246">
        <f ca="1">INDIRECT(CONCATENATE("[",$I$2,".xlsx]",$I$4,"!E21"))</f>
        <v>0</v>
      </c>
      <c r="F21" s="250">
        <f t="shared" ca="1" si="3"/>
        <v>0</v>
      </c>
      <c r="G21" s="1287"/>
      <c r="H21" s="1298"/>
      <c r="I21" s="1298"/>
      <c r="J21" s="1298"/>
    </row>
    <row r="22" spans="1:10" x14ac:dyDescent="0.5">
      <c r="A22" s="225">
        <f ca="1">INDIRECT(CONCATENATE("[",$I$2,".xlsx]",$I$4,"!A22"))</f>
        <v>0</v>
      </c>
      <c r="B22" s="15">
        <f ca="1">INDIRECT(CONCATENATE("[",$I$2,".xlsx]",$I$4,"!B22"))</f>
        <v>0</v>
      </c>
      <c r="C22" s="226">
        <f ca="1">INDIRECT(CONCATENATE("[",$I$2,".xlsx]",$I$4,"!C22"))</f>
        <v>0</v>
      </c>
      <c r="D22" s="250">
        <f t="shared" ca="1" si="2"/>
        <v>0</v>
      </c>
      <c r="E22" s="246">
        <f ca="1">INDIRECT(CONCATENATE("[",$I$2,".xlsx]",$I$4,"!E22"))</f>
        <v>0</v>
      </c>
      <c r="F22" s="250">
        <f t="shared" ca="1" si="3"/>
        <v>0</v>
      </c>
      <c r="G22" s="1287"/>
    </row>
    <row r="23" spans="1:10" x14ac:dyDescent="0.5">
      <c r="A23" s="225">
        <f ca="1">INDIRECT(CONCATENATE("[",$I$2,".xlsx]",$I$4,"!A23"))</f>
        <v>0</v>
      </c>
      <c r="B23" s="15">
        <f ca="1">INDIRECT(CONCATENATE("[",$I$2,".xlsx]",$I$4,"!B23"))</f>
        <v>0</v>
      </c>
      <c r="C23" s="226">
        <f ca="1">INDIRECT(CONCATENATE("[",$I$2,".xlsx]",$I$4,"!C23"))</f>
        <v>0</v>
      </c>
      <c r="D23" s="250">
        <f t="shared" ca="1" si="2"/>
        <v>0</v>
      </c>
      <c r="E23" s="246">
        <f ca="1">INDIRECT(CONCATENATE("[",$I$2,".xlsx]",$I$4,"!E23"))</f>
        <v>0</v>
      </c>
      <c r="F23" s="250">
        <f t="shared" ca="1" si="3"/>
        <v>0</v>
      </c>
      <c r="G23" s="1287"/>
    </row>
    <row r="24" spans="1:10" x14ac:dyDescent="0.5">
      <c r="A24" s="225">
        <f ca="1">INDIRECT(CONCATENATE("[",$I$2,".xlsx]",$I$4,"!A24"))</f>
        <v>0</v>
      </c>
      <c r="B24" s="15">
        <f ca="1">INDIRECT(CONCATENATE("[",$I$2,".xlsx]",$I$4,"!B24"))</f>
        <v>0</v>
      </c>
      <c r="C24" s="226">
        <f ca="1">INDIRECT(CONCATENATE("[",$I$2,".xlsx]",$I$4,"!C24"))</f>
        <v>0</v>
      </c>
      <c r="D24" s="250">
        <f t="shared" ca="1" si="2"/>
        <v>0</v>
      </c>
      <c r="E24" s="246">
        <f ca="1">INDIRECT(CONCATENATE("[",$I$2,".xlsx]",$I$4,"!E24"))</f>
        <v>0</v>
      </c>
      <c r="F24" s="250">
        <f t="shared" ca="1" si="3"/>
        <v>0</v>
      </c>
      <c r="G24" s="1287"/>
    </row>
    <row r="25" spans="1:10" x14ac:dyDescent="0.5">
      <c r="A25" s="225">
        <f ca="1">INDIRECT(CONCATENATE("[",$I$2,".xlsx]",$I$4,"!A25"))</f>
        <v>0</v>
      </c>
      <c r="B25" s="15">
        <f ca="1">INDIRECT(CONCATENATE("[",$I$2,".xlsx]",$I$4,"!B25"))</f>
        <v>0</v>
      </c>
      <c r="C25" s="226">
        <f ca="1">INDIRECT(CONCATENATE("[",$I$2,".xlsx]",$I$4,"!C25"))</f>
        <v>0</v>
      </c>
      <c r="D25" s="250">
        <f t="shared" ca="1" si="2"/>
        <v>0</v>
      </c>
      <c r="E25" s="246">
        <f ca="1">INDIRECT(CONCATENATE("[",$I$2,".xlsx]",$I$4,"!E25"))</f>
        <v>0</v>
      </c>
      <c r="F25" s="250">
        <f t="shared" ca="1" si="3"/>
        <v>0</v>
      </c>
      <c r="G25" s="1287"/>
    </row>
    <row r="26" spans="1:10" x14ac:dyDescent="0.5">
      <c r="A26" s="225">
        <f ca="1">INDIRECT(CONCATENATE("[",$I$2,".xlsx]",$I$4,"!A26"))</f>
        <v>0</v>
      </c>
      <c r="B26" s="15">
        <f ca="1">INDIRECT(CONCATENATE("[",$I$2,".xlsx]",$I$4,"!B26"))</f>
        <v>0</v>
      </c>
      <c r="C26" s="226">
        <f ca="1">INDIRECT(CONCATENATE("[",$I$2,".xlsx]",$I$4,"!C26"))</f>
        <v>0</v>
      </c>
      <c r="D26" s="250">
        <f t="shared" ca="1" si="2"/>
        <v>0</v>
      </c>
      <c r="E26" s="246">
        <f ca="1">INDIRECT(CONCATENATE("[",$I$2,".xlsx]",$I$4,"!E26"))</f>
        <v>0</v>
      </c>
      <c r="F26" s="250">
        <f t="shared" ca="1" si="3"/>
        <v>0</v>
      </c>
      <c r="G26" s="1287"/>
    </row>
    <row r="27" spans="1:10" x14ac:dyDescent="0.5">
      <c r="A27" s="225">
        <f ca="1">INDIRECT(CONCATENATE("[",$I$2,".xlsx]",$I$4,"!A27"))</f>
        <v>0</v>
      </c>
      <c r="B27" s="15">
        <f ca="1">INDIRECT(CONCATENATE("[",$I$2,".xlsx]",$I$4,"!B27"))</f>
        <v>0</v>
      </c>
      <c r="C27" s="226">
        <f ca="1">INDIRECT(CONCATENATE("[",$I$2,".xlsx]",$I$4,"!C27"))</f>
        <v>0</v>
      </c>
      <c r="D27" s="250">
        <f t="shared" ca="1" si="2"/>
        <v>0</v>
      </c>
      <c r="E27" s="246">
        <f ca="1">INDIRECT(CONCATENATE("[",$I$2,".xlsx]",$I$4,"!E27"))</f>
        <v>0</v>
      </c>
      <c r="F27" s="250">
        <f t="shared" ca="1" si="3"/>
        <v>0</v>
      </c>
      <c r="G27" s="1287"/>
    </row>
    <row r="28" spans="1:10" x14ac:dyDescent="0.5">
      <c r="A28" s="225">
        <f ca="1">INDIRECT(CONCATENATE("[",$I$2,".xlsx]",$I$4,"!A28"))</f>
        <v>0</v>
      </c>
      <c r="B28" s="15">
        <f ca="1">INDIRECT(CONCATENATE("[",$I$2,".xlsx]",$I$4,"!B28"))</f>
        <v>0</v>
      </c>
      <c r="C28" s="226">
        <f ca="1">INDIRECT(CONCATENATE("[",$I$2,".xlsx]",$I$4,"!C28"))</f>
        <v>0</v>
      </c>
      <c r="D28" s="250">
        <f t="shared" ref="D28:D33" ca="1" si="4">B28*$D$4</f>
        <v>0</v>
      </c>
      <c r="E28" s="246">
        <f ca="1">INDIRECT(CONCATENATE("[",$I$2,".xlsx]",$I$4,"!E28"))</f>
        <v>0</v>
      </c>
      <c r="F28" s="250">
        <f t="shared" ref="F28:F33" ca="1" si="5">D28*E28</f>
        <v>0</v>
      </c>
      <c r="G28" s="1287"/>
    </row>
    <row r="29" spans="1:10" x14ac:dyDescent="0.5">
      <c r="A29" s="225">
        <f ca="1">INDIRECT(CONCATENATE("[",$I$2,".xlsx]",$I$4,"!A29"))</f>
        <v>0</v>
      </c>
      <c r="B29" s="15">
        <f ca="1">INDIRECT(CONCATENATE("[",$I$2,".xlsx]",$I$4,"!B29"))</f>
        <v>0</v>
      </c>
      <c r="C29" s="226">
        <f ca="1">INDIRECT(CONCATENATE("[",$I$2,".xlsx]",$I$4,"!C29"))</f>
        <v>0</v>
      </c>
      <c r="D29" s="250">
        <f t="shared" ca="1" si="4"/>
        <v>0</v>
      </c>
      <c r="E29" s="246">
        <f ca="1">INDIRECT(CONCATENATE("[",$I$2,".xlsx]",$I$4,"!E29"))</f>
        <v>0</v>
      </c>
      <c r="F29" s="250">
        <f t="shared" ca="1" si="5"/>
        <v>0</v>
      </c>
      <c r="G29" s="1287"/>
    </row>
    <row r="30" spans="1:10" x14ac:dyDescent="0.5">
      <c r="A30" s="225">
        <f ca="1">INDIRECT(CONCATENATE("[",$I$2,".xlsx]",$I$4,"!A30"))</f>
        <v>0</v>
      </c>
      <c r="B30" s="15">
        <f ca="1">INDIRECT(CONCATENATE("[",$I$2,".xlsx]",$I$4,"!B30"))</f>
        <v>0</v>
      </c>
      <c r="C30" s="226">
        <f ca="1">INDIRECT(CONCATENATE("[",$I$2,".xlsx]",$I$4,"!C30"))</f>
        <v>0</v>
      </c>
      <c r="D30" s="250">
        <f t="shared" ca="1" si="4"/>
        <v>0</v>
      </c>
      <c r="E30" s="246">
        <f ca="1">INDIRECT(CONCATENATE("[",$I$2,".xlsx]",$I$4,"!E30"))</f>
        <v>0</v>
      </c>
      <c r="F30" s="250">
        <f t="shared" ca="1" si="5"/>
        <v>0</v>
      </c>
      <c r="G30" s="1287"/>
    </row>
    <row r="31" spans="1:10" x14ac:dyDescent="0.5">
      <c r="A31" s="225">
        <f ca="1">INDIRECT(CONCATENATE("[",$I$2,".xlsx]",$I$4,"!A31"))</f>
        <v>0</v>
      </c>
      <c r="B31" s="15">
        <f ca="1">INDIRECT(CONCATENATE("[",$I$2,".xlsx]",$I$4,"!B31"))</f>
        <v>0</v>
      </c>
      <c r="C31" s="226">
        <f ca="1">INDIRECT(CONCATENATE("[",$I$2,".xlsx]",$I$4,"!C31"))</f>
        <v>0</v>
      </c>
      <c r="D31" s="250">
        <f t="shared" ca="1" si="4"/>
        <v>0</v>
      </c>
      <c r="E31" s="246">
        <f ca="1">INDIRECT(CONCATENATE("[",$I$2,".xlsx]",$I$4,"!E31"))</f>
        <v>0</v>
      </c>
      <c r="F31" s="250">
        <f t="shared" ca="1" si="5"/>
        <v>0</v>
      </c>
      <c r="G31" s="1287"/>
    </row>
    <row r="32" spans="1:10" x14ac:dyDescent="0.5">
      <c r="A32" s="225">
        <f ca="1">INDIRECT(CONCATENATE("[",$I$2,".xlsx]",$I$4,"!A32"))</f>
        <v>0</v>
      </c>
      <c r="B32" s="15">
        <f ca="1">INDIRECT(CONCATENATE("[",$I$2,".xlsx]",$I$4,"!B32"))</f>
        <v>0</v>
      </c>
      <c r="C32" s="226">
        <f ca="1">INDIRECT(CONCATENATE("[",$I$2,".xlsx]",$I$4,"!C32"))</f>
        <v>0</v>
      </c>
      <c r="D32" s="250">
        <f t="shared" ca="1" si="4"/>
        <v>0</v>
      </c>
      <c r="E32" s="246">
        <f ca="1">INDIRECT(CONCATENATE("[",$I$2,".xlsx]",$I$4,"!E32"))</f>
        <v>0</v>
      </c>
      <c r="F32" s="250">
        <f t="shared" ca="1" si="5"/>
        <v>0</v>
      </c>
      <c r="G32" s="1287"/>
    </row>
    <row r="33" spans="1:7" x14ac:dyDescent="0.5">
      <c r="A33" s="225">
        <f ca="1">INDIRECT(CONCATENATE("[",$I$2,".xlsx]",$I$4,"!A33"))</f>
        <v>0</v>
      </c>
      <c r="B33" s="15">
        <f ca="1">INDIRECT(CONCATENATE("[",$I$2,".xlsx]",$I$4,"!B33"))</f>
        <v>0</v>
      </c>
      <c r="C33" s="226">
        <f ca="1">INDIRECT(CONCATENATE("[",$I$2,".xlsx]",$I$4,"!C33"))</f>
        <v>0</v>
      </c>
      <c r="D33" s="250">
        <f t="shared" ca="1" si="4"/>
        <v>0</v>
      </c>
      <c r="E33" s="246">
        <f ca="1">INDIRECT(CONCATENATE("[",$I$2,".xlsx]",$I$4,"!E33"))</f>
        <v>0</v>
      </c>
      <c r="F33" s="250">
        <f t="shared" ca="1" si="5"/>
        <v>0</v>
      </c>
      <c r="G33" s="1287"/>
    </row>
    <row r="34" spans="1:7" x14ac:dyDescent="0.5">
      <c r="A34" s="1347" t="s">
        <v>243</v>
      </c>
      <c r="B34" s="1348"/>
      <c r="C34" s="1348"/>
      <c r="D34" s="1348"/>
      <c r="E34" s="1348"/>
      <c r="F34" s="1349"/>
    </row>
    <row r="35" spans="1:7" x14ac:dyDescent="0.5">
      <c r="A35" s="1355"/>
      <c r="B35" s="1356"/>
      <c r="C35" s="1356"/>
      <c r="D35" s="1356"/>
      <c r="E35" s="1356"/>
      <c r="F35" s="1357"/>
    </row>
    <row r="36" spans="1:7" ht="18" customHeight="1" x14ac:dyDescent="0.5">
      <c r="A36" s="1324" t="s">
        <v>184</v>
      </c>
      <c r="B36" s="1325"/>
      <c r="C36" s="1326"/>
      <c r="D36" s="193"/>
      <c r="E36" s="1291" t="s">
        <v>320</v>
      </c>
      <c r="F36" s="1292"/>
    </row>
    <row r="37" spans="1:7" ht="15.75" customHeight="1" x14ac:dyDescent="0.5">
      <c r="A37" s="12" t="s">
        <v>186</v>
      </c>
      <c r="B37" s="13"/>
      <c r="C37" s="482">
        <f ca="1">INDIRECT(CONCATENATE("[",$I$2,".xlsx]",$I$4,"!C37"))</f>
        <v>39</v>
      </c>
      <c r="D37" s="193"/>
      <c r="E37" s="1293"/>
      <c r="F37" s="1294"/>
    </row>
    <row r="38" spans="1:7" x14ac:dyDescent="0.5">
      <c r="A38" s="227" t="s">
        <v>273</v>
      </c>
      <c r="B38" s="228" t="s">
        <v>274</v>
      </c>
      <c r="C38" s="228" t="s">
        <v>84</v>
      </c>
      <c r="D38" s="193"/>
      <c r="E38" s="1293"/>
      <c r="F38" s="1294"/>
    </row>
    <row r="39" spans="1:7" x14ac:dyDescent="0.5">
      <c r="A39" s="225" t="str">
        <f ca="1">INDIRECT(CONCATENATE("[",$I$2,".xlsx]",$I$4,"!A39"))</f>
        <v>Mehrarbeit (40igsteSTD)</v>
      </c>
      <c r="B39" s="232">
        <f ca="1">INDIRECT(CONCATENATE("[",$I$2,".xlsx]",$I$4,"!B39"))</f>
        <v>1</v>
      </c>
      <c r="C39" s="235">
        <f ca="1">INDIRECT(CONCATENATE("[",$I$2,".xlsx]",$I$4,"!C39"))</f>
        <v>0</v>
      </c>
      <c r="D39" s="193"/>
      <c r="E39" s="1293"/>
      <c r="F39" s="1294"/>
    </row>
    <row r="40" spans="1:7" x14ac:dyDescent="0.5">
      <c r="A40" s="225">
        <f ca="1">INDIRECT(CONCATENATE("[",$I$2,".xlsx]",$I$4,"!A40"))</f>
        <v>0</v>
      </c>
      <c r="B40" s="233">
        <f ca="1">INDIRECT(CONCATENATE("[",$I$2,".xlsx]",$I$4,"!B40"))</f>
        <v>0</v>
      </c>
      <c r="C40" s="235">
        <f ca="1">INDIRECT(CONCATENATE("[",$I$2,".xlsx]",$I$4,"!C40"))</f>
        <v>0</v>
      </c>
      <c r="D40" s="193"/>
      <c r="E40" s="1293"/>
      <c r="F40" s="1294"/>
    </row>
    <row r="41" spans="1:7" x14ac:dyDescent="0.5">
      <c r="A41" s="225" t="str">
        <f ca="1">INDIRECT(CONCATENATE("[",$I$2,".xlsx]",$I$4,"!A41"))</f>
        <v>Überstunde 50%</v>
      </c>
      <c r="B41" s="233">
        <f ca="1">INDIRECT(CONCATENATE("[",$I$2,".xlsx]",$I$4,"!B41"))</f>
        <v>1</v>
      </c>
      <c r="C41" s="235">
        <f ca="1">INDIRECT(CONCATENATE("[",$I$2,".xlsx]",$I$4,"!C41"))</f>
        <v>0.5</v>
      </c>
      <c r="D41" s="193"/>
      <c r="E41" s="1293"/>
      <c r="F41" s="1294"/>
    </row>
    <row r="42" spans="1:7" x14ac:dyDescent="0.5">
      <c r="A42" s="225" t="str">
        <f ca="1">INDIRECT(CONCATENATE("[",$I$2,".xlsx]",$I$4,"!A42"))</f>
        <v>Überstunde 100%</v>
      </c>
      <c r="B42" s="233">
        <f ca="1">INDIRECT(CONCATENATE("[",$I$2,".xlsx]",$I$4,"!B42"))</f>
        <v>1</v>
      </c>
      <c r="C42" s="235">
        <f ca="1">INDIRECT(CONCATENATE("[",$I$2,".xlsx]",$I$4,"!C42"))</f>
        <v>1</v>
      </c>
      <c r="D42" s="193"/>
      <c r="E42" s="1293"/>
      <c r="F42" s="1294"/>
    </row>
    <row r="43" spans="1:7" x14ac:dyDescent="0.5">
      <c r="A43" s="225">
        <f ca="1">INDIRECT(CONCATENATE("[",$I$2,".xlsx]",$I$4,"!A43"))</f>
        <v>0</v>
      </c>
      <c r="B43" s="233">
        <f ca="1">INDIRECT(CONCATENATE("[",$I$2,".xlsx]",$I$4,"!B43"))</f>
        <v>0</v>
      </c>
      <c r="C43" s="235">
        <f ca="1">INDIRECT(CONCATENATE("[",$I$2,".xlsx]",$I$4,"!C43"))</f>
        <v>0</v>
      </c>
      <c r="D43" s="193"/>
      <c r="E43" s="1293"/>
      <c r="F43" s="1294"/>
    </row>
    <row r="44" spans="1:7" x14ac:dyDescent="0.5">
      <c r="A44" s="225">
        <f ca="1">INDIRECT(CONCATENATE("[",$I$2,".xlsx]",$I$4,"!A44"))</f>
        <v>0</v>
      </c>
      <c r="B44" s="233">
        <f ca="1">INDIRECT(CONCATENATE("[",$I$2,".xlsx]",$I$4,"!B44"))</f>
        <v>0</v>
      </c>
      <c r="C44" s="235">
        <f ca="1">INDIRECT(CONCATENATE("[",$I$2,".xlsx]",$I$4,"!C44"))</f>
        <v>0</v>
      </c>
      <c r="D44" s="193"/>
      <c r="E44" s="1293"/>
      <c r="F44" s="1294"/>
    </row>
    <row r="45" spans="1:7" x14ac:dyDescent="0.5">
      <c r="A45" s="225">
        <f ca="1">INDIRECT(CONCATENATE("[",$I$2,".xlsx]",$I$4,"!A45"))</f>
        <v>0</v>
      </c>
      <c r="B45" s="233">
        <f ca="1">INDIRECT(CONCATENATE("[",$I$2,".xlsx]",$I$4,"!B45"))</f>
        <v>0</v>
      </c>
      <c r="C45" s="235">
        <f ca="1">INDIRECT(CONCATENATE("[",$I$2,".xlsx]",$I$4,"!C45"))</f>
        <v>0</v>
      </c>
      <c r="D45" s="193"/>
      <c r="E45" s="1295"/>
      <c r="F45" s="1296"/>
    </row>
    <row r="46" spans="1:7" x14ac:dyDescent="0.5">
      <c r="A46" s="225">
        <f ca="1">INDIRECT(CONCATENATE("[",$I$2,".xlsx]",$I$4,"!A46"))</f>
        <v>0</v>
      </c>
      <c r="B46" s="233">
        <f ca="1">INDIRECT(CONCATENATE("[",$I$2,".xlsx]",$I$4,"!B46"))</f>
        <v>0</v>
      </c>
      <c r="C46" s="235">
        <f ca="1">INDIRECT(CONCATENATE("[",$I$2,".xlsx]",$I$4,"!C46"))</f>
        <v>0</v>
      </c>
      <c r="D46" s="193"/>
      <c r="E46" s="363"/>
      <c r="F46" s="364"/>
    </row>
    <row r="47" spans="1:7" x14ac:dyDescent="0.5">
      <c r="A47" s="225">
        <f ca="1">INDIRECT(CONCATENATE("[",$I$2,".xlsx]",$I$4,"!A47"))</f>
        <v>0</v>
      </c>
      <c r="B47" s="233">
        <f ca="1">INDIRECT(CONCATENATE("[",$I$2,".xlsx]",$I$4,"!B47"))</f>
        <v>0</v>
      </c>
      <c r="C47" s="235">
        <f ca="1">INDIRECT(CONCATENATE("[",$I$2,".xlsx]",$I$4,"!C47"))</f>
        <v>0</v>
      </c>
      <c r="D47" s="193"/>
      <c r="E47" s="193"/>
      <c r="F47" s="194"/>
    </row>
    <row r="48" spans="1:7" x14ac:dyDescent="0.5">
      <c r="A48" s="225">
        <f ca="1">INDIRECT(CONCATENATE("[",$I$2,".xlsx]",$I$4,"!A48"))</f>
        <v>0</v>
      </c>
      <c r="B48" s="234">
        <f ca="1">INDIRECT(CONCATENATE("[",$I$2,".xlsx]",$I$4,"!B48"))</f>
        <v>0</v>
      </c>
      <c r="C48" s="235">
        <f ca="1">INDIRECT(CONCATENATE("[",$I$2,".xlsx]",$I$4,"!C48"))</f>
        <v>0</v>
      </c>
      <c r="D48" s="193"/>
      <c r="E48" s="193"/>
      <c r="F48" s="194"/>
    </row>
    <row r="49" spans="1:6" x14ac:dyDescent="0.5">
      <c r="A49" s="227" t="s">
        <v>275</v>
      </c>
      <c r="B49" s="228" t="s">
        <v>274</v>
      </c>
      <c r="C49" s="228" t="s">
        <v>84</v>
      </c>
      <c r="D49" s="193"/>
      <c r="E49" s="193"/>
      <c r="F49" s="194"/>
    </row>
    <row r="50" spans="1:6" x14ac:dyDescent="0.5">
      <c r="A50" s="225">
        <f ca="1">INDIRECT(CONCATENATE("[",$I$2,".xlsx]",$I$4,"!A50"))</f>
        <v>0</v>
      </c>
      <c r="B50" s="233">
        <f ca="1">INDIRECT(CONCATENATE("[",$I$2,".xlsx]",$I$4,"!B50"))</f>
        <v>0</v>
      </c>
      <c r="C50" s="235">
        <f ca="1">INDIRECT(CONCATENATE("[",$I$2,".xlsx]",$I$4,"!C50"))</f>
        <v>0</v>
      </c>
      <c r="D50" s="193"/>
      <c r="E50" s="193"/>
      <c r="F50" s="194"/>
    </row>
    <row r="51" spans="1:6" x14ac:dyDescent="0.5">
      <c r="A51" s="225">
        <f ca="1">INDIRECT(CONCATENATE("[",$I$2,".xlsx]",$I$4,"!A51"))</f>
        <v>0</v>
      </c>
      <c r="B51" s="233">
        <f ca="1">INDIRECT(CONCATENATE("[",$I$2,".xlsx]",$I$4,"!B51"))</f>
        <v>0</v>
      </c>
      <c r="C51" s="235">
        <f ca="1">INDIRECT(CONCATENATE("[",$I$2,".xlsx]",$I$4,"!C51"))</f>
        <v>0</v>
      </c>
      <c r="D51" s="193"/>
      <c r="E51" s="193"/>
      <c r="F51" s="194"/>
    </row>
    <row r="52" spans="1:6" x14ac:dyDescent="0.5">
      <c r="A52" s="225">
        <f ca="1">INDIRECT(CONCATENATE("[",$I$2,".xlsx]",$I$4,"!A52"))</f>
        <v>0</v>
      </c>
      <c r="B52" s="233">
        <f ca="1">INDIRECT(CONCATENATE("[",$I$2,".xlsx]",$I$4,"!B52"))</f>
        <v>0</v>
      </c>
      <c r="C52" s="235">
        <f ca="1">INDIRECT(CONCATENATE("[",$I$2,".xlsx]",$I$4,"!C52"))</f>
        <v>0</v>
      </c>
      <c r="D52" s="193"/>
      <c r="E52" s="193"/>
      <c r="F52" s="194"/>
    </row>
    <row r="53" spans="1:6" x14ac:dyDescent="0.5">
      <c r="A53" s="225">
        <f ca="1">INDIRECT(CONCATENATE("[",$I$2,".xlsx]",$I$4,"!A53"))</f>
        <v>0</v>
      </c>
      <c r="B53" s="233">
        <f ca="1">INDIRECT(CONCATENATE("[",$I$2,".xlsx]",$I$4,"!B53"))</f>
        <v>0</v>
      </c>
      <c r="C53" s="235">
        <f ca="1">INDIRECT(CONCATENATE("[",$I$2,".xlsx]",$I$4,"!C53"))</f>
        <v>0</v>
      </c>
      <c r="D53" s="193"/>
      <c r="E53" s="193"/>
      <c r="F53" s="194"/>
    </row>
    <row r="54" spans="1:6" x14ac:dyDescent="0.5">
      <c r="A54" s="225">
        <f ca="1">INDIRECT(CONCATENATE("[",$I$2,".xlsx]",$I$4,"!A54"))</f>
        <v>0</v>
      </c>
      <c r="B54" s="233">
        <f ca="1">INDIRECT(CONCATENATE("[",$I$2,".xlsx]",$I$4,"!B54"))</f>
        <v>0</v>
      </c>
      <c r="C54" s="235">
        <f ca="1">INDIRECT(CONCATENATE("[",$I$2,".xlsx]",$I$4,"!C54"))</f>
        <v>0</v>
      </c>
      <c r="D54" s="193"/>
      <c r="E54" s="193"/>
      <c r="F54" s="194"/>
    </row>
    <row r="55" spans="1:6" x14ac:dyDescent="0.5">
      <c r="A55" s="227" t="s">
        <v>321</v>
      </c>
      <c r="B55" s="228" t="s">
        <v>322</v>
      </c>
      <c r="C55" s="150"/>
      <c r="D55" s="193"/>
      <c r="E55" s="193"/>
      <c r="F55" s="194"/>
    </row>
    <row r="56" spans="1:6" x14ac:dyDescent="0.5">
      <c r="A56" s="225">
        <f ca="1">INDIRECT(CONCATENATE("[",$I$2,".xlsx]",$I$4,"!A56"))</f>
        <v>0</v>
      </c>
      <c r="B56" s="55">
        <f ca="1">INDIRECT(CONCATENATE("[",$I$2,".xlsx]",$I$4,"!B56"))</f>
        <v>0</v>
      </c>
      <c r="C56" s="229"/>
      <c r="D56" s="193"/>
      <c r="E56" s="193"/>
      <c r="F56" s="194"/>
    </row>
    <row r="57" spans="1:6" x14ac:dyDescent="0.5">
      <c r="A57" s="225">
        <f ca="1">INDIRECT(CONCATENATE("[",$I$2,".xlsx]",$I$4,"!A57"))</f>
        <v>0</v>
      </c>
      <c r="B57" s="55">
        <f ca="1">INDIRECT(CONCATENATE("[",$I$2,".xlsx]",$I$4,"!B57"))</f>
        <v>0</v>
      </c>
      <c r="C57" s="230"/>
      <c r="D57" s="193"/>
      <c r="E57" s="193"/>
      <c r="F57" s="194"/>
    </row>
    <row r="58" spans="1:6" x14ac:dyDescent="0.5">
      <c r="A58" s="225">
        <f ca="1">INDIRECT(CONCATENATE("[",$I$2,".xlsx]",$I$4,"!A58"))</f>
        <v>0</v>
      </c>
      <c r="B58" s="55">
        <f ca="1">INDIRECT(CONCATENATE("[",$I$2,".xlsx]",$I$4,"!B58"))</f>
        <v>0</v>
      </c>
      <c r="C58" s="230"/>
      <c r="D58" s="193"/>
      <c r="E58" s="193"/>
      <c r="F58" s="194"/>
    </row>
    <row r="59" spans="1:6" x14ac:dyDescent="0.5">
      <c r="A59" s="225">
        <f ca="1">INDIRECT(CONCATENATE("[",$I$2,".xlsx]",$I$4,"!A59"))</f>
        <v>0</v>
      </c>
      <c r="B59" s="55">
        <f ca="1">INDIRECT(CONCATENATE("[",$I$2,".xlsx]",$I$4,"!B59"))</f>
        <v>0</v>
      </c>
      <c r="C59" s="230"/>
      <c r="D59" s="193"/>
      <c r="E59" s="193"/>
      <c r="F59" s="194"/>
    </row>
    <row r="60" spans="1:6" x14ac:dyDescent="0.5">
      <c r="A60" s="225">
        <f ca="1">INDIRECT(CONCATENATE("[",$I$2,".xlsx]",$I$4,"!A60"))</f>
        <v>0</v>
      </c>
      <c r="B60" s="55">
        <f ca="1">INDIRECT(CONCATENATE("[",$I$2,".xlsx]",$I$4,"!B60"))</f>
        <v>0</v>
      </c>
      <c r="C60" s="231"/>
      <c r="D60" s="193"/>
      <c r="E60" s="193"/>
      <c r="F60" s="194"/>
    </row>
    <row r="61" spans="1:6" x14ac:dyDescent="0.5">
      <c r="A61" s="86" t="s">
        <v>181</v>
      </c>
      <c r="B61" s="211"/>
      <c r="C61" s="212"/>
      <c r="D61" s="193"/>
      <c r="E61" s="193"/>
      <c r="F61" s="194"/>
    </row>
    <row r="62" spans="1:6" x14ac:dyDescent="0.5">
      <c r="A62" s="66" t="s">
        <v>256</v>
      </c>
      <c r="B62" s="193"/>
      <c r="C62" s="194"/>
      <c r="D62" s="193"/>
      <c r="E62" s="193"/>
      <c r="F62" s="194"/>
    </row>
    <row r="63" spans="1:6" x14ac:dyDescent="0.5">
      <c r="A63" s="68" t="s">
        <v>245</v>
      </c>
      <c r="B63" s="213"/>
      <c r="C63" s="214"/>
      <c r="D63" s="193"/>
      <c r="E63" s="193"/>
      <c r="F63" s="194"/>
    </row>
    <row r="64" spans="1:6" x14ac:dyDescent="0.5">
      <c r="A64" s="1358"/>
      <c r="B64" s="1359"/>
      <c r="C64" s="1359"/>
      <c r="D64" s="193"/>
      <c r="E64" s="193"/>
      <c r="F64" s="194"/>
    </row>
    <row r="65" spans="1:6" x14ac:dyDescent="0.5">
      <c r="A65" s="1360"/>
      <c r="B65" s="1361"/>
      <c r="C65" s="1361"/>
      <c r="D65" s="193"/>
      <c r="E65" s="193"/>
      <c r="F65" s="194"/>
    </row>
    <row r="66" spans="1:6" x14ac:dyDescent="0.5">
      <c r="A66" s="1324" t="s">
        <v>183</v>
      </c>
      <c r="B66" s="1325"/>
      <c r="C66" s="1326"/>
      <c r="D66" s="193"/>
      <c r="E66" s="193"/>
      <c r="F66" s="194"/>
    </row>
    <row r="67" spans="1:6" x14ac:dyDescent="0.5">
      <c r="A67" s="236" t="s">
        <v>107</v>
      </c>
      <c r="B67" s="360" t="s">
        <v>111</v>
      </c>
      <c r="C67" s="237" t="s">
        <v>140</v>
      </c>
      <c r="D67" s="193"/>
      <c r="E67" s="193"/>
      <c r="F67" s="194"/>
    </row>
    <row r="68" spans="1:6" x14ac:dyDescent="0.5">
      <c r="A68" s="238" t="str">
        <f ca="1">INDIRECT(CONCATENATE("[",$I$2,".xlsx]",$I$4,"!A68"))</f>
        <v>Akkordzul. Helfer (OÖ+W)</v>
      </c>
      <c r="B68" s="235">
        <f ca="1">INDIRECT(CONCATENATE("[",$I$2,".xlsx]",$I$4,"!B68"))</f>
        <v>0.18</v>
      </c>
      <c r="C68" s="55">
        <f ca="1">INDIRECT(CONCATENATE("[",$I$2,".xlsx]",$I$4,"!C68"))</f>
        <v>0</v>
      </c>
      <c r="D68" s="365"/>
      <c r="E68" s="193"/>
      <c r="F68" s="194"/>
    </row>
    <row r="69" spans="1:6" x14ac:dyDescent="0.5">
      <c r="A69" s="225" t="str">
        <f ca="1">INDIRECT(CONCATENATE("[",$I$2,".xlsx]",$I$4,"!A69"))</f>
        <v>Akkordzul. Helfer (Stmk)</v>
      </c>
      <c r="B69" s="235">
        <f ca="1">INDIRECT(CONCATENATE("[",$I$2,".xlsx]",$I$4,"!B69"))</f>
        <v>0.13</v>
      </c>
      <c r="C69" s="55">
        <f ca="1">INDIRECT(CONCATENATE("[",$I$2,".xlsx]",$I$4,"!C69"))</f>
        <v>0</v>
      </c>
      <c r="D69" s="365"/>
      <c r="E69" s="193"/>
      <c r="F69" s="194"/>
    </row>
    <row r="70" spans="1:6" x14ac:dyDescent="0.5">
      <c r="A70" s="225">
        <f ca="1">INDIRECT(CONCATENATE("[",$I$2,".xlsx]",$I$4,"!A70"))</f>
        <v>0</v>
      </c>
      <c r="B70" s="235">
        <f ca="1">INDIRECT(CONCATENATE("[",$I$2,".xlsx]",$I$4,"!B70"))</f>
        <v>0</v>
      </c>
      <c r="C70" s="55">
        <f ca="1">INDIRECT(CONCATENATE("[",$I$2,".xlsx]",$I$4,"!C70"))</f>
        <v>0</v>
      </c>
      <c r="D70" s="365"/>
      <c r="E70" s="193"/>
      <c r="F70" s="194"/>
    </row>
    <row r="71" spans="1:6" x14ac:dyDescent="0.5">
      <c r="A71" s="225">
        <f ca="1">INDIRECT(CONCATENATE("[",$I$2,".xlsx]",$I$4,"!A71"))</f>
        <v>0</v>
      </c>
      <c r="B71" s="235">
        <f ca="1">INDIRECT(CONCATENATE("[",$I$2,".xlsx]",$I$4,"!B71"))</f>
        <v>0</v>
      </c>
      <c r="C71" s="55">
        <f ca="1">INDIRECT(CONCATENATE("[",$I$2,".xlsx]",$I$4,"!C71"))</f>
        <v>0</v>
      </c>
      <c r="D71" s="365"/>
      <c r="E71" s="193"/>
      <c r="F71" s="194"/>
    </row>
    <row r="72" spans="1:6" x14ac:dyDescent="0.5">
      <c r="A72" s="225">
        <f ca="1">INDIRECT(CONCATENATE("[",$I$2,".xlsx]",$I$4,"!A72"))</f>
        <v>0</v>
      </c>
      <c r="B72" s="235">
        <f ca="1">INDIRECT(CONCATENATE("[",$I$2,".xlsx]",$I$4,"!B72"))</f>
        <v>0</v>
      </c>
      <c r="C72" s="55">
        <f ca="1">INDIRECT(CONCATENATE("[",$I$2,".xlsx]",$I$4,"!C72"))</f>
        <v>0</v>
      </c>
      <c r="D72" s="365"/>
      <c r="E72" s="193"/>
      <c r="F72" s="194"/>
    </row>
    <row r="73" spans="1:6" x14ac:dyDescent="0.5">
      <c r="A73" s="225">
        <f ca="1">INDIRECT(CONCATENATE("[",$I$2,".xlsx]",$I$4,"!A73"))</f>
        <v>0</v>
      </c>
      <c r="B73" s="235">
        <f ca="1">INDIRECT(CONCATENATE("[",$I$2,".xlsx]",$I$4,"!B73"))</f>
        <v>0</v>
      </c>
      <c r="C73" s="55">
        <f ca="1">INDIRECT(CONCATENATE("[",$I$2,".xlsx]",$I$4,"!C73"))</f>
        <v>0</v>
      </c>
      <c r="D73" s="365"/>
      <c r="E73" s="365"/>
      <c r="F73" s="194"/>
    </row>
    <row r="74" spans="1:6" x14ac:dyDescent="0.5">
      <c r="A74" s="225">
        <f ca="1">INDIRECT(CONCATENATE("[",$I$2,".xlsx]",$I$4,"!A74"))</f>
        <v>0</v>
      </c>
      <c r="B74" s="235">
        <f ca="1">INDIRECT(CONCATENATE("[",$I$2,".xlsx]",$I$4,"!B74"))</f>
        <v>0</v>
      </c>
      <c r="C74" s="55">
        <f ca="1">INDIRECT(CONCATENATE("[",$I$2,".xlsx]",$I$4,"!C74"))</f>
        <v>0</v>
      </c>
      <c r="D74" s="365"/>
      <c r="E74" s="193"/>
      <c r="F74" s="194"/>
    </row>
    <row r="75" spans="1:6" x14ac:dyDescent="0.5">
      <c r="A75" s="225">
        <f ca="1">INDIRECT(CONCATENATE("[",$I$2,".xlsx]",$I$4,"!A75"))</f>
        <v>0</v>
      </c>
      <c r="B75" s="235">
        <f ca="1">INDIRECT(CONCATENATE("[",$I$2,".xlsx]",$I$4,"!B75"))</f>
        <v>0</v>
      </c>
      <c r="C75" s="55">
        <f ca="1">INDIRECT(CONCATENATE("[",$I$2,".xlsx]",$I$4,"!C75"))</f>
        <v>0</v>
      </c>
      <c r="D75" s="365"/>
      <c r="E75" s="193"/>
      <c r="F75" s="194"/>
    </row>
    <row r="76" spans="1:6" x14ac:dyDescent="0.5">
      <c r="A76" s="225">
        <f ca="1">INDIRECT(CONCATENATE("[",$I$2,".xlsx]",$I$4,"!A76"))</f>
        <v>0</v>
      </c>
      <c r="B76" s="235">
        <f ca="1">INDIRECT(CONCATENATE("[",$I$2,".xlsx]",$I$4,"!B76"))</f>
        <v>0</v>
      </c>
      <c r="C76" s="55">
        <f ca="1">INDIRECT(CONCATENATE("[",$I$2,".xlsx]",$I$4,"!C76"))</f>
        <v>0</v>
      </c>
      <c r="D76" s="365"/>
      <c r="E76" s="193"/>
      <c r="F76" s="194"/>
    </row>
    <row r="77" spans="1:6" x14ac:dyDescent="0.5">
      <c r="A77" s="225">
        <f ca="1">INDIRECT(CONCATENATE("[",$I$2,".xlsx]",$I$4,"!A77"))</f>
        <v>0</v>
      </c>
      <c r="B77" s="235">
        <f ca="1">INDIRECT(CONCATENATE("[",$I$2,".xlsx]",$I$4,"!B77"))</f>
        <v>0</v>
      </c>
      <c r="C77" s="55">
        <f ca="1">INDIRECT(CONCATENATE("[",$I$2,".xlsx]",$I$4,"!C77"))</f>
        <v>0</v>
      </c>
      <c r="D77" s="365"/>
      <c r="E77" s="193"/>
      <c r="F77" s="194"/>
    </row>
    <row r="78" spans="1:6" x14ac:dyDescent="0.5">
      <c r="A78" s="225">
        <f ca="1">INDIRECT(CONCATENATE("[",$I$2,".xlsx]",$I$4,"!A78"))</f>
        <v>0</v>
      </c>
      <c r="B78" s="235">
        <f ca="1">INDIRECT(CONCATENATE("[",$I$2,".xlsx]",$I$4,"!B78"))</f>
        <v>0</v>
      </c>
      <c r="C78" s="55">
        <f ca="1">INDIRECT(CONCATENATE("[",$I$2,".xlsx]",$I$4,"!C78"))</f>
        <v>0</v>
      </c>
      <c r="D78" s="365"/>
      <c r="E78" s="193"/>
      <c r="F78" s="194"/>
    </row>
    <row r="79" spans="1:6" x14ac:dyDescent="0.5">
      <c r="A79" s="225">
        <f ca="1">INDIRECT(CONCATENATE("[",$I$2,".xlsx]",$I$4,"!A79"))</f>
        <v>0</v>
      </c>
      <c r="B79" s="235">
        <f ca="1">INDIRECT(CONCATENATE("[",$I$2,".xlsx]",$I$4,"!B79"))</f>
        <v>0</v>
      </c>
      <c r="C79" s="55">
        <f ca="1">INDIRECT(CONCATENATE("[",$I$2,".xlsx]",$I$4,"!C79"))</f>
        <v>0</v>
      </c>
      <c r="D79" s="365"/>
      <c r="E79" s="193"/>
      <c r="F79" s="194"/>
    </row>
    <row r="80" spans="1:6" x14ac:dyDescent="0.5">
      <c r="A80" s="225">
        <f ca="1">INDIRECT(CONCATENATE("[",$I$2,".xlsx]",$I$4,"!A80"))</f>
        <v>0</v>
      </c>
      <c r="B80" s="235">
        <f ca="1">INDIRECT(CONCATENATE("[",$I$2,".xlsx]",$I$4,"!B80"))</f>
        <v>0</v>
      </c>
      <c r="C80" s="55">
        <f ca="1">INDIRECT(CONCATENATE("[",$I$2,".xlsx]",$I$4,"!C80"))</f>
        <v>0</v>
      </c>
      <c r="D80" s="365"/>
      <c r="E80" s="193"/>
      <c r="F80" s="194"/>
    </row>
    <row r="81" spans="1:6" x14ac:dyDescent="0.5">
      <c r="A81" s="225">
        <f ca="1">INDIRECT(CONCATENATE("[",$I$2,".xlsx]",$I$4,"!A81"))</f>
        <v>0</v>
      </c>
      <c r="B81" s="235">
        <f ca="1">INDIRECT(CONCATENATE("[",$I$2,".xlsx]",$I$4,"!B81"))</f>
        <v>0</v>
      </c>
      <c r="C81" s="55">
        <f ca="1">INDIRECT(CONCATENATE("[",$I$2,".xlsx]",$I$4,"!C81"))</f>
        <v>0</v>
      </c>
      <c r="D81" s="365"/>
      <c r="E81" s="193"/>
      <c r="F81" s="194"/>
    </row>
    <row r="82" spans="1:6" x14ac:dyDescent="0.5">
      <c r="A82" s="225">
        <f ca="1">INDIRECT(CONCATENATE("[",$I$2,".xlsx]",$I$4,"!A82"))</f>
        <v>0</v>
      </c>
      <c r="B82" s="235">
        <f ca="1">INDIRECT(CONCATENATE("[",$I$2,".xlsx]",$I$4,"!B82"))</f>
        <v>0</v>
      </c>
      <c r="C82" s="55">
        <f ca="1">INDIRECT(CONCATENATE("[",$I$2,".xlsx]",$I$4,"!C82"))</f>
        <v>0</v>
      </c>
      <c r="D82" s="365"/>
      <c r="E82" s="193"/>
      <c r="F82" s="194"/>
    </row>
    <row r="83" spans="1:6" x14ac:dyDescent="0.5">
      <c r="A83" s="225">
        <f ca="1">INDIRECT(CONCATENATE("[",$I$2,".xlsx]",$I$4,"!A83"))</f>
        <v>0</v>
      </c>
      <c r="B83" s="235">
        <f ca="1">INDIRECT(CONCATENATE("[",$I$2,".xlsx]",$I$4,"!B83"))</f>
        <v>0</v>
      </c>
      <c r="C83" s="55">
        <f ca="1">INDIRECT(CONCATENATE("[",$I$2,".xlsx]",$I$4,"!C83"))</f>
        <v>0</v>
      </c>
      <c r="D83" s="365"/>
      <c r="E83" s="193"/>
      <c r="F83" s="194"/>
    </row>
    <row r="84" spans="1:6" x14ac:dyDescent="0.5">
      <c r="A84" s="225">
        <f ca="1">INDIRECT(CONCATENATE("[",$I$2,".xlsx]",$I$4,"!A84"))</f>
        <v>0</v>
      </c>
      <c r="B84" s="235">
        <f ca="1">INDIRECT(CONCATENATE("[",$I$2,".xlsx]",$I$4,"!B84"))</f>
        <v>0</v>
      </c>
      <c r="C84" s="55">
        <f ca="1">INDIRECT(CONCATENATE("[",$I$2,".xlsx]",$I$4,"!C84"))</f>
        <v>0</v>
      </c>
      <c r="D84" s="365"/>
      <c r="E84" s="193"/>
      <c r="F84" s="194"/>
    </row>
    <row r="85" spans="1:6" x14ac:dyDescent="0.5">
      <c r="A85" s="225">
        <f ca="1">INDIRECT(CONCATENATE("[",$I$2,".xlsx]",$I$4,"!A85"))</f>
        <v>0</v>
      </c>
      <c r="B85" s="235">
        <f ca="1">INDIRECT(CONCATENATE("[",$I$2,".xlsx]",$I$4,"!B85"))</f>
        <v>0</v>
      </c>
      <c r="C85" s="55">
        <f ca="1">INDIRECT(CONCATENATE("[",$I$2,".xlsx]",$I$4,"!C85"))</f>
        <v>0</v>
      </c>
      <c r="D85" s="365"/>
      <c r="E85" s="193"/>
      <c r="F85" s="194"/>
    </row>
    <row r="86" spans="1:6" x14ac:dyDescent="0.5">
      <c r="A86" s="225">
        <f ca="1">INDIRECT(CONCATENATE("[",$I$2,".xlsx]",$I$4,"!A86"))</f>
        <v>0</v>
      </c>
      <c r="B86" s="235">
        <f ca="1">INDIRECT(CONCATENATE("[",$I$2,".xlsx]",$I$4,"!B86"))</f>
        <v>0</v>
      </c>
      <c r="C86" s="55">
        <f ca="1">INDIRECT(CONCATENATE("[",$I$2,".xlsx]",$I$4,"!C86"))</f>
        <v>0</v>
      </c>
      <c r="D86" s="365"/>
      <c r="E86" s="193"/>
      <c r="F86" s="194"/>
    </row>
    <row r="87" spans="1:6" x14ac:dyDescent="0.5">
      <c r="A87" s="225">
        <f ca="1">INDIRECT(CONCATENATE("[",$I$2,".xlsx]",$I$4,"!A87"))</f>
        <v>0</v>
      </c>
      <c r="B87" s="235">
        <f ca="1">INDIRECT(CONCATENATE("[",$I$2,".xlsx]",$I$4,"!B87"))</f>
        <v>0</v>
      </c>
      <c r="C87" s="55">
        <f ca="1">INDIRECT(CONCATENATE("[",$I$2,".xlsx]",$I$4,"!C87"))</f>
        <v>0</v>
      </c>
      <c r="D87" s="365"/>
      <c r="E87" s="193"/>
      <c r="F87" s="194"/>
    </row>
    <row r="88" spans="1:6" x14ac:dyDescent="0.5">
      <c r="A88" s="225">
        <f ca="1">INDIRECT(CONCATENATE("[",$I$2,".xlsx]",$I$4,"!A88"))</f>
        <v>0</v>
      </c>
      <c r="B88" s="235">
        <f ca="1">INDIRECT(CONCATENATE("[",$I$2,".xlsx]",$I$4,"!B88"))</f>
        <v>0</v>
      </c>
      <c r="C88" s="55">
        <f ca="1">INDIRECT(CONCATENATE("[",$I$2,".xlsx]",$I$4,"!C88"))</f>
        <v>0</v>
      </c>
      <c r="D88" s="365"/>
      <c r="E88" s="193"/>
      <c r="F88" s="194"/>
    </row>
    <row r="89" spans="1:6" x14ac:dyDescent="0.5">
      <c r="A89" s="225">
        <f ca="1">INDIRECT(CONCATENATE("[",$I$2,".xlsx]",$I$4,"!A89"))</f>
        <v>0</v>
      </c>
      <c r="B89" s="235">
        <f ca="1">INDIRECT(CONCATENATE("[",$I$2,".xlsx]",$I$4,"!B89"))</f>
        <v>0</v>
      </c>
      <c r="C89" s="55">
        <f ca="1">INDIRECT(CONCATENATE("[",$I$2,".xlsx]",$I$4,"!C90"))</f>
        <v>0</v>
      </c>
      <c r="D89" s="365"/>
      <c r="E89" s="193"/>
      <c r="F89" s="194"/>
    </row>
    <row r="90" spans="1:6" x14ac:dyDescent="0.5">
      <c r="A90" s="225">
        <f ca="1">INDIRECT(CONCATENATE("[",$I$2,".xlsx]",$I$4,"!A90"))</f>
        <v>0</v>
      </c>
      <c r="B90" s="235">
        <f ca="1">INDIRECT(CONCATENATE("[",$I$2,".xlsx]",$I$4,"!B90"))</f>
        <v>0</v>
      </c>
      <c r="C90" s="55">
        <f ca="1">INDIRECT(CONCATENATE("[",$I$2,".xlsx]",$I$4,"!C90"))</f>
        <v>0</v>
      </c>
      <c r="D90" s="365"/>
      <c r="E90" s="193"/>
      <c r="F90" s="194"/>
    </row>
    <row r="91" spans="1:6" x14ac:dyDescent="0.5">
      <c r="A91" s="225">
        <f ca="1">INDIRECT(CONCATENATE("[",$I$2,".xlsx]",$I$4,"!A91"))</f>
        <v>0</v>
      </c>
      <c r="B91" s="235">
        <f ca="1">INDIRECT(CONCATENATE("[",$I$2,".xlsx]",$I$4,"!B91"))</f>
        <v>0</v>
      </c>
      <c r="C91" s="55">
        <f ca="1">INDIRECT(CONCATENATE("[",$I$2,".xlsx]",$I$4,"!C91"))</f>
        <v>0</v>
      </c>
      <c r="D91" s="365"/>
      <c r="E91" s="193"/>
      <c r="F91" s="194"/>
    </row>
    <row r="92" spans="1:6" x14ac:dyDescent="0.5">
      <c r="A92" s="225">
        <f ca="1">INDIRECT(CONCATENATE("[",$I$2,".xlsx]",$I$4,"!A92"))</f>
        <v>0</v>
      </c>
      <c r="B92" s="235">
        <f ca="1">INDIRECT(CONCATENATE("[",$I$2,".xlsx]",$I$4,"!B92"))</f>
        <v>0</v>
      </c>
      <c r="C92" s="55">
        <f ca="1">INDIRECT(CONCATENATE("[",$I$2,".xlsx]",$I$4,"!C92"))</f>
        <v>0</v>
      </c>
      <c r="D92" s="365"/>
      <c r="E92" s="193"/>
      <c r="F92" s="194"/>
    </row>
    <row r="93" spans="1:6" x14ac:dyDescent="0.5">
      <c r="A93" s="225">
        <f ca="1">INDIRECT(CONCATENATE("[",$I$2,".xlsx]",$I$4,"!A93"))</f>
        <v>0</v>
      </c>
      <c r="B93" s="235">
        <f ca="1">INDIRECT(CONCATENATE("[",$I$2,".xlsx]",$I$4,"!B93"))</f>
        <v>0</v>
      </c>
      <c r="C93" s="55">
        <f ca="1">INDIRECT(CONCATENATE("[",$I$2,".xlsx]",$I$4,"!C93"))</f>
        <v>0</v>
      </c>
      <c r="D93" s="365"/>
      <c r="E93" s="193"/>
      <c r="F93" s="194"/>
    </row>
    <row r="94" spans="1:6" x14ac:dyDescent="0.5">
      <c r="A94" s="239">
        <f ca="1">INDIRECT(CONCATENATE("[",$I$2,".xlsx]",$I$4,"!A94"))</f>
        <v>0</v>
      </c>
      <c r="B94" s="304">
        <f ca="1">INDIRECT(CONCATENATE("[",$I$2,".xlsx]",$I$4,"!B94"))</f>
        <v>0</v>
      </c>
      <c r="C94" s="56">
        <f ca="1">INDIRECT(CONCATENATE("[",$I$2,".xlsx]",$I$4,"!C94"))</f>
        <v>0</v>
      </c>
      <c r="D94" s="365"/>
      <c r="E94" s="193"/>
      <c r="F94" s="194"/>
    </row>
    <row r="95" spans="1:6" x14ac:dyDescent="0.5">
      <c r="A95" s="1327"/>
      <c r="B95" s="1290"/>
      <c r="C95" s="1290"/>
      <c r="D95" s="193"/>
      <c r="E95" s="193"/>
      <c r="F95" s="194"/>
    </row>
    <row r="96" spans="1:6" x14ac:dyDescent="0.5">
      <c r="A96" s="1324" t="s">
        <v>182</v>
      </c>
      <c r="B96" s="1325"/>
      <c r="C96" s="1325"/>
      <c r="D96" s="1326"/>
      <c r="E96" s="193"/>
      <c r="F96" s="194"/>
    </row>
    <row r="97" spans="1:6" x14ac:dyDescent="0.5">
      <c r="A97" s="12" t="s">
        <v>95</v>
      </c>
      <c r="B97" s="240">
        <f ca="1">INDIRECT(CONCATENATE("[",$I$2,".xlsx]",$I$4,"!B97"))</f>
        <v>26.4</v>
      </c>
      <c r="C97" s="14" t="s">
        <v>142</v>
      </c>
      <c r="D97" s="14"/>
      <c r="E97" s="193"/>
      <c r="F97" s="194"/>
    </row>
    <row r="98" spans="1:6" x14ac:dyDescent="0.5">
      <c r="A98" s="1322" t="s">
        <v>101</v>
      </c>
      <c r="B98" s="1352" t="s">
        <v>25</v>
      </c>
      <c r="C98" s="1353"/>
      <c r="D98" s="1354"/>
      <c r="E98" s="193"/>
      <c r="F98" s="194"/>
    </row>
    <row r="99" spans="1:6" x14ac:dyDescent="0.5">
      <c r="A99" s="1323"/>
      <c r="B99" s="244" t="s">
        <v>98</v>
      </c>
      <c r="C99" s="244" t="s">
        <v>99</v>
      </c>
      <c r="D99" s="241" t="s">
        <v>67</v>
      </c>
      <c r="E99" s="193"/>
      <c r="F99" s="194"/>
    </row>
    <row r="100" spans="1:6" x14ac:dyDescent="0.5">
      <c r="A100" s="225" t="str">
        <f ca="1">INDIRECT(CONCATENATE("[",$I$2,".xlsx]",$I$4,"!A100"))</f>
        <v>Taggeld</v>
      </c>
      <c r="B100" s="55">
        <f ca="1">INDIRECT(CONCATENATE("[",$I$2,".xlsx]",$I$4,"!B100"))</f>
        <v>7</v>
      </c>
      <c r="C100" s="55">
        <f ca="1">INDIRECT(CONCATENATE("[",$I$2,".xlsx]",$I$4,"!C100"))</f>
        <v>0</v>
      </c>
      <c r="D100" s="15">
        <f ca="1">B100+C100</f>
        <v>7</v>
      </c>
      <c r="E100" s="193"/>
      <c r="F100" s="194"/>
    </row>
    <row r="101" spans="1:6" x14ac:dyDescent="0.5">
      <c r="A101" s="225" t="str">
        <f ca="1">INDIRECT(CONCATENATE("[",$I$2,".xlsx]",$I$4,"!A101"))</f>
        <v>Taggeld (b keiner tägl Rückreise)</v>
      </c>
      <c r="B101" s="55">
        <f ca="1">INDIRECT(CONCATENATE("[",$I$2,".xlsx]",$I$4,"!B101"))</f>
        <v>26.4</v>
      </c>
      <c r="C101" s="55">
        <f ca="1">INDIRECT(CONCATENATE("[",$I$2,".xlsx]",$I$4,"!C101"))</f>
        <v>0</v>
      </c>
      <c r="D101" s="15">
        <f t="shared" ref="D101:D109" ca="1" si="6">B101+C101</f>
        <v>26.4</v>
      </c>
      <c r="E101" s="193"/>
      <c r="F101" s="194"/>
    </row>
    <row r="102" spans="1:6" x14ac:dyDescent="0.5">
      <c r="A102" s="225">
        <f ca="1">INDIRECT(CONCATENATE("[",$I$2,".xlsx]",$I$4,"!A102"))</f>
        <v>0</v>
      </c>
      <c r="B102" s="55">
        <f ca="1">INDIRECT(CONCATENATE("[",$I$2,".xlsx]",$I$4,"!B102"))</f>
        <v>0</v>
      </c>
      <c r="C102" s="55">
        <f ca="1">INDIRECT(CONCATENATE("[",$I$2,".xlsx]",$I$4,"!C102"))</f>
        <v>0</v>
      </c>
      <c r="D102" s="15">
        <f t="shared" ca="1" si="6"/>
        <v>0</v>
      </c>
      <c r="E102" s="193"/>
      <c r="F102" s="194"/>
    </row>
    <row r="103" spans="1:6" x14ac:dyDescent="0.5">
      <c r="A103" s="225" t="str">
        <f ca="1">INDIRECT(CONCATENATE("[",$I$2,".xlsx]",$I$4,"!A103"))</f>
        <v>Nächtigungsgeld</v>
      </c>
      <c r="B103" s="55">
        <f ca="1">INDIRECT(CONCATENATE("[",$I$2,".xlsx]",$I$4,"!B103"))</f>
        <v>12</v>
      </c>
      <c r="C103" s="55">
        <f ca="1">INDIRECT(CONCATENATE("[",$I$2,".xlsx]",$I$4,"!C103"))</f>
        <v>0</v>
      </c>
      <c r="D103" s="15">
        <f t="shared" ca="1" si="6"/>
        <v>12</v>
      </c>
      <c r="E103" s="193"/>
      <c r="F103" s="194"/>
    </row>
    <row r="104" spans="1:6" x14ac:dyDescent="0.5">
      <c r="A104" s="225" t="str">
        <f ca="1">INDIRECT(CONCATENATE("[",$I$2,".xlsx]",$I$4,"!A104"))</f>
        <v>INDIVIDUELL:</v>
      </c>
      <c r="B104" s="55">
        <f ca="1">INDIRECT(CONCATENATE("[",$I$2,".xlsx]",$I$4,"!B104"))</f>
        <v>0</v>
      </c>
      <c r="C104" s="55">
        <f ca="1">INDIRECT(CONCATENATE("[",$I$2,".xlsx]",$I$4,"!C104"))</f>
        <v>0</v>
      </c>
      <c r="D104" s="15">
        <f t="shared" ca="1" si="6"/>
        <v>0</v>
      </c>
      <c r="E104" s="193"/>
      <c r="F104" s="194"/>
    </row>
    <row r="105" spans="1:6" x14ac:dyDescent="0.5">
      <c r="A105" s="225" t="str">
        <f ca="1">INDIRECT(CONCATENATE("[",$I$2,".xlsx]",$I$4,"!A105"))</f>
        <v>Fahrscheivergütung (individell)</v>
      </c>
      <c r="B105" s="55">
        <f ca="1">INDIRECT(CONCATENATE("[",$I$2,".xlsx]",$I$4,"!B105"))</f>
        <v>0</v>
      </c>
      <c r="C105" s="55">
        <f ca="1">INDIRECT(CONCATENATE("[",$I$2,".xlsx]",$I$4,"!C105"))</f>
        <v>5</v>
      </c>
      <c r="D105" s="15">
        <f t="shared" ca="1" si="6"/>
        <v>5</v>
      </c>
      <c r="E105" s="193"/>
      <c r="F105" s="194"/>
    </row>
    <row r="106" spans="1:6" x14ac:dyDescent="0.5">
      <c r="A106" s="225">
        <f ca="1">INDIRECT(CONCATENATE("[",$I$2,".xlsx]",$I$4,"!A106"))</f>
        <v>0</v>
      </c>
      <c r="B106" s="55">
        <f ca="1">INDIRECT(CONCATENATE("[",$I$2,".xlsx]",$I$4,"!B106"))</f>
        <v>0</v>
      </c>
      <c r="C106" s="55">
        <f ca="1">INDIRECT(CONCATENATE("[",$I$2,".xlsx]",$I$4,"!C106"))</f>
        <v>0</v>
      </c>
      <c r="D106" s="15">
        <f t="shared" ca="1" si="6"/>
        <v>0</v>
      </c>
      <c r="E106" s="193"/>
      <c r="F106" s="194"/>
    </row>
    <row r="107" spans="1:6" x14ac:dyDescent="0.5">
      <c r="A107" s="225">
        <f ca="1">INDIRECT(CONCATENATE("[",$I$2,".xlsx]",$I$4,"!A107"))</f>
        <v>0</v>
      </c>
      <c r="B107" s="55">
        <f ca="1">INDIRECT(CONCATENATE("[",$I$2,".xlsx]",$I$4,"!B107"))</f>
        <v>0</v>
      </c>
      <c r="C107" s="55">
        <f ca="1">INDIRECT(CONCATENATE("[",$I$2,".xlsx]",$I$4,"!C107"))</f>
        <v>0</v>
      </c>
      <c r="D107" s="15">
        <f t="shared" ca="1" si="6"/>
        <v>0</v>
      </c>
      <c r="E107" s="193"/>
      <c r="F107" s="194"/>
    </row>
    <row r="108" spans="1:6" x14ac:dyDescent="0.5">
      <c r="A108" s="225">
        <f ca="1">INDIRECT(CONCATENATE("[",$I$2,".xlsx]",$I$4,"!A108"))</f>
        <v>0</v>
      </c>
      <c r="B108" s="55">
        <f ca="1">INDIRECT(CONCATENATE("[",$I$2,".xlsx]",$I$4,"!B108"))</f>
        <v>0</v>
      </c>
      <c r="C108" s="55">
        <f ca="1">INDIRECT(CONCATENATE("[",$I$2,".xlsx]",$I$4,"!C108"))</f>
        <v>0</v>
      </c>
      <c r="D108" s="15">
        <f t="shared" ca="1" si="6"/>
        <v>0</v>
      </c>
      <c r="E108" s="193"/>
      <c r="F108" s="194"/>
    </row>
    <row r="109" spans="1:6" x14ac:dyDescent="0.5">
      <c r="A109" s="225">
        <f ca="1">INDIRECT(CONCATENATE("[",$I$2,".xlsx]",$I$4,"!A109"))</f>
        <v>0</v>
      </c>
      <c r="B109" s="55">
        <f ca="1">INDIRECT(CONCATENATE("[",$I$2,".xlsx]",$I$4,"!B109"))</f>
        <v>0</v>
      </c>
      <c r="C109" s="55">
        <f ca="1">INDIRECT(CONCATENATE("[",$I$2,".xlsx]",$I$4,"!C109"))</f>
        <v>0</v>
      </c>
      <c r="D109" s="15">
        <f t="shared" ca="1" si="6"/>
        <v>0</v>
      </c>
      <c r="E109" s="193"/>
      <c r="F109" s="194"/>
    </row>
    <row r="110" spans="1:6" x14ac:dyDescent="0.5">
      <c r="A110" s="225">
        <f ca="1">INDIRECT(CONCATENATE("[",$I$2,".xlsx]",$I$4,"!A110"))</f>
        <v>0</v>
      </c>
      <c r="B110" s="55">
        <f ca="1">INDIRECT(CONCATENATE("[",$I$2,".xlsx]",$I$4,"!B110"))</f>
        <v>0</v>
      </c>
      <c r="C110" s="55">
        <f ca="1">INDIRECT(CONCATENATE("[",$I$2,".xlsx]",$I$4,"!C110"))</f>
        <v>0</v>
      </c>
      <c r="D110" s="15">
        <f ca="1">B110+C110</f>
        <v>0</v>
      </c>
      <c r="E110" s="193"/>
      <c r="F110" s="194"/>
    </row>
    <row r="111" spans="1:6" x14ac:dyDescent="0.5">
      <c r="A111" s="225">
        <f ca="1">INDIRECT(CONCATENATE("[",$I$2,".xlsx]",$I$4,"!A111"))</f>
        <v>0</v>
      </c>
      <c r="B111" s="55">
        <f ca="1">INDIRECT(CONCATENATE("[",$I$2,".xlsx]",$I$4,"!B111"))</f>
        <v>0</v>
      </c>
      <c r="C111" s="55">
        <f ca="1">INDIRECT(CONCATENATE("[",$I$2,".xlsx]",$I$4,"!C111"))</f>
        <v>0</v>
      </c>
      <c r="D111" s="15">
        <f ca="1">B111+C111</f>
        <v>0</v>
      </c>
      <c r="E111" s="193"/>
      <c r="F111" s="194"/>
    </row>
    <row r="112" spans="1:6" x14ac:dyDescent="0.5">
      <c r="A112" s="1369" t="s">
        <v>172</v>
      </c>
      <c r="B112" s="1371" t="s">
        <v>173</v>
      </c>
      <c r="C112" s="1372"/>
      <c r="D112" s="1373"/>
      <c r="E112" s="193"/>
      <c r="F112" s="194"/>
    </row>
    <row r="113" spans="1:6" x14ac:dyDescent="0.5">
      <c r="A113" s="1370"/>
      <c r="B113" s="242" t="s">
        <v>98</v>
      </c>
      <c r="C113" s="242" t="s">
        <v>99</v>
      </c>
      <c r="D113" s="243" t="s">
        <v>67</v>
      </c>
      <c r="E113" s="193"/>
      <c r="F113" s="194"/>
    </row>
    <row r="114" spans="1:6" x14ac:dyDescent="0.5">
      <c r="A114" s="225">
        <f ca="1">INDIRECT(CONCATENATE("[",$I$2,".xlsx]",$I$4,"!A114"))</f>
        <v>0</v>
      </c>
      <c r="B114" s="55">
        <f ca="1">INDIRECT(CONCATENATE("[",$I$2,".xlsx]",$I$4,"!B114"))</f>
        <v>0</v>
      </c>
      <c r="C114" s="55">
        <f ca="1">INDIRECT(CONCATENATE("[",$I$2,".xlsx]",$I$4,"!C114"))</f>
        <v>0</v>
      </c>
      <c r="D114" s="55">
        <f ca="1">B114+C114</f>
        <v>0</v>
      </c>
      <c r="E114" s="193"/>
      <c r="F114" s="194"/>
    </row>
    <row r="115" spans="1:6" x14ac:dyDescent="0.5">
      <c r="A115" s="225">
        <f ca="1">INDIRECT(CONCATENATE("[",$I$2,".xlsx]",$I$4,"!A115"))</f>
        <v>0</v>
      </c>
      <c r="B115" s="55">
        <f ca="1">INDIRECT(CONCATENATE("[",$I$2,".xlsx]",$I$4,"!B115"))</f>
        <v>0</v>
      </c>
      <c r="C115" s="55">
        <f ca="1">INDIRECT(CONCATENATE("[",$I$2,".xlsx]",$I$4,"!C115"))</f>
        <v>0</v>
      </c>
      <c r="D115" s="55">
        <f ca="1">B115+C115</f>
        <v>0</v>
      </c>
      <c r="E115" s="193"/>
      <c r="F115" s="194"/>
    </row>
    <row r="116" spans="1:6" x14ac:dyDescent="0.5">
      <c r="A116" s="239">
        <f ca="1">INDIRECT(CONCATENATE("[",$I$2,".xlsx]",$I$4,"!A116"))</f>
        <v>0</v>
      </c>
      <c r="B116" s="55">
        <f ca="1">INDIRECT(CONCATENATE("[",$I$2,".xlsx]",$I$4,"!B116"))</f>
        <v>0</v>
      </c>
      <c r="C116" s="55">
        <f ca="1">INDIRECT(CONCATENATE("[",$I$2,".xlsx]",$I$4,"!C116"))</f>
        <v>0</v>
      </c>
      <c r="D116" s="55">
        <f ca="1">B116+C116</f>
        <v>0</v>
      </c>
      <c r="E116" s="193"/>
      <c r="F116" s="194"/>
    </row>
    <row r="117" spans="1:6" x14ac:dyDescent="0.5">
      <c r="A117" s="1322" t="s">
        <v>128</v>
      </c>
      <c r="B117" s="1366" t="s">
        <v>100</v>
      </c>
      <c r="C117" s="1367"/>
      <c r="D117" s="1368"/>
      <c r="E117" s="193"/>
      <c r="F117" s="194"/>
    </row>
    <row r="118" spans="1:6" x14ac:dyDescent="0.5">
      <c r="A118" s="1323"/>
      <c r="B118" s="237" t="s">
        <v>98</v>
      </c>
      <c r="C118" s="237" t="s">
        <v>99</v>
      </c>
      <c r="D118" s="245" t="s">
        <v>67</v>
      </c>
      <c r="E118" s="193"/>
      <c r="F118" s="194"/>
    </row>
    <row r="119" spans="1:6" x14ac:dyDescent="0.5">
      <c r="A119" s="225">
        <f ca="1">INDIRECT(CONCATENATE("[",$I$2,".xlsx]",$I$4,"!A119"))</f>
        <v>0</v>
      </c>
      <c r="B119" s="55">
        <f ca="1">INDIRECT(CONCATENATE("[",$I$2,".xlsx]",$I$4,"!B119"))</f>
        <v>0</v>
      </c>
      <c r="C119" s="55">
        <f ca="1">INDIRECT(CONCATENATE("[",$I$2,".xlsx]",$I$4,"!C119"))</f>
        <v>0</v>
      </c>
      <c r="D119" s="55">
        <f t="shared" ref="D119:D124" ca="1" si="7">B119+C119</f>
        <v>0</v>
      </c>
      <c r="E119" s="193"/>
      <c r="F119" s="194"/>
    </row>
    <row r="120" spans="1:6" x14ac:dyDescent="0.5">
      <c r="A120" s="225">
        <f ca="1">INDIRECT(CONCATENATE("[",$I$2,".xlsx]",$I$4,"!A120"))</f>
        <v>0</v>
      </c>
      <c r="B120" s="55">
        <f ca="1">INDIRECT(CONCATENATE("[",$I$2,".xlsx]",$I$4,"!B120"))</f>
        <v>0</v>
      </c>
      <c r="C120" s="55">
        <f ca="1">INDIRECT(CONCATENATE("[",$I$2,".xlsx]",$I$4,"!C120"))</f>
        <v>0</v>
      </c>
      <c r="D120" s="55">
        <f t="shared" ca="1" si="7"/>
        <v>0</v>
      </c>
      <c r="E120" s="193"/>
      <c r="F120" s="194"/>
    </row>
    <row r="121" spans="1:6" x14ac:dyDescent="0.5">
      <c r="A121" s="225" t="str">
        <f ca="1">INDIRECT(CONCATENATE("[",$I$2,".xlsx]",$I$4,"!A121"))</f>
        <v>INDIVIDUELLER WERT:</v>
      </c>
      <c r="B121" s="55">
        <f ca="1">INDIRECT(CONCATENATE("[",$I$2,".xlsx]",$I$4,"!B121"))</f>
        <v>0</v>
      </c>
      <c r="C121" s="55">
        <f ca="1">INDIRECT(CONCATENATE("[",$I$2,".xlsx]",$I$4,"!C121"))</f>
        <v>0</v>
      </c>
      <c r="D121" s="55">
        <f t="shared" ca="1" si="7"/>
        <v>0</v>
      </c>
      <c r="E121" s="193"/>
      <c r="F121" s="194"/>
    </row>
    <row r="122" spans="1:6" x14ac:dyDescent="0.5">
      <c r="A122" s="225" t="str">
        <f ca="1">INDIRECT(CONCATENATE("[",$I$2,".xlsx]",$I$4,"!A122"))</f>
        <v>Heimfahrt (&gt;120 km); alle 4 Wo - 1/4</v>
      </c>
      <c r="B122" s="55">
        <f ca="1">INDIRECT(CONCATENATE("[",$I$2,".xlsx]",$I$4,"!B122"))</f>
        <v>20</v>
      </c>
      <c r="C122" s="55">
        <f ca="1">INDIRECT(CONCATENATE("[",$I$2,".xlsx]",$I$4,"!C122"))</f>
        <v>0</v>
      </c>
      <c r="D122" s="55">
        <f t="shared" ca="1" si="7"/>
        <v>20</v>
      </c>
      <c r="E122" s="193"/>
      <c r="F122" s="194"/>
    </row>
    <row r="123" spans="1:6" x14ac:dyDescent="0.5">
      <c r="A123" s="225">
        <f ca="1">INDIRECT(CONCATENATE("[",$I$2,".xlsx]",$I$4,"!A123"))</f>
        <v>0</v>
      </c>
      <c r="B123" s="55">
        <f ca="1">INDIRECT(CONCATENATE("[",$I$2,".xlsx]",$I$4,"!B123"))</f>
        <v>0</v>
      </c>
      <c r="C123" s="55">
        <f ca="1">INDIRECT(CONCATENATE("[",$I$2,".xlsx]",$I$4,"!C123"))</f>
        <v>0</v>
      </c>
      <c r="D123" s="55">
        <f t="shared" ca="1" si="7"/>
        <v>0</v>
      </c>
      <c r="E123" s="193"/>
      <c r="F123" s="194"/>
    </row>
    <row r="124" spans="1:6" x14ac:dyDescent="0.5">
      <c r="A124" s="239">
        <f ca="1">INDIRECT(CONCATENATE("[",$I$2,".xlsx]",$I$4,"!A124"))</f>
        <v>0</v>
      </c>
      <c r="B124" s="56">
        <f ca="1">INDIRECT(CONCATENATE("[",$I$2,".xlsx]",$I$4,"!B124"))</f>
        <v>0</v>
      </c>
      <c r="C124" s="56">
        <f ca="1">INDIRECT(CONCATENATE("[",$I$2,".xlsx]",$I$4,"!C124"))</f>
        <v>0</v>
      </c>
      <c r="D124" s="56">
        <f t="shared" ca="1" si="7"/>
        <v>0</v>
      </c>
      <c r="E124" s="193"/>
      <c r="F124" s="194"/>
    </row>
    <row r="125" spans="1:6" x14ac:dyDescent="0.5">
      <c r="A125" s="366" t="s">
        <v>145</v>
      </c>
      <c r="B125" s="13"/>
      <c r="C125" s="13"/>
      <c r="D125" s="14"/>
      <c r="E125" s="213"/>
      <c r="F125" s="214"/>
    </row>
    <row r="126" spans="1:6" x14ac:dyDescent="0.5">
      <c r="A126" s="1289"/>
      <c r="B126" s="1289"/>
      <c r="C126" s="1289"/>
      <c r="D126" s="1289"/>
    </row>
    <row r="127" spans="1:6" x14ac:dyDescent="0.5">
      <c r="A127" s="1290"/>
      <c r="B127" s="1290"/>
      <c r="C127" s="1290"/>
      <c r="D127" s="1290"/>
      <c r="E127" s="57"/>
    </row>
    <row r="128" spans="1:6" ht="21" x14ac:dyDescent="0.65">
      <c r="A128" s="1377" t="s">
        <v>246</v>
      </c>
      <c r="B128" s="1378"/>
      <c r="C128" s="1378"/>
      <c r="D128" s="1378"/>
      <c r="E128" s="1378"/>
      <c r="F128" s="1379"/>
    </row>
    <row r="129" spans="1:6" x14ac:dyDescent="0.5">
      <c r="A129" s="424" t="s">
        <v>277</v>
      </c>
      <c r="B129" s="1374" t="str">
        <f ca="1">INDIRECT(CONCATENATE("[",$I$2,".xlsx]",$I$4,"!B3"))</f>
        <v>KollV Hafner, Platten- und Fliesenleger</v>
      </c>
      <c r="C129" s="1375"/>
      <c r="D129" s="1375"/>
      <c r="E129" s="1375"/>
      <c r="F129" s="1376"/>
    </row>
    <row r="130" spans="1:6" x14ac:dyDescent="0.5">
      <c r="A130" s="78" t="s">
        <v>79</v>
      </c>
      <c r="B130" s="294">
        <f ca="1">INDIRECT(CONCATENATE("[",$I$2,".xlsx]",$I$4,"!B130"))</f>
        <v>44927</v>
      </c>
      <c r="C130" s="57"/>
      <c r="D130" s="57"/>
    </row>
    <row r="131" spans="1:6" x14ac:dyDescent="0.5">
      <c r="A131" s="137" t="s">
        <v>53</v>
      </c>
      <c r="B131" s="1380" t="s">
        <v>111</v>
      </c>
      <c r="C131" s="151"/>
    </row>
    <row r="132" spans="1:6" x14ac:dyDescent="0.5">
      <c r="A132" s="138">
        <f ca="1">B130</f>
        <v>44927</v>
      </c>
      <c r="B132" s="1381"/>
      <c r="C132" s="151"/>
    </row>
    <row r="133" spans="1:6" x14ac:dyDescent="0.5">
      <c r="A133" s="255"/>
      <c r="B133" s="254" t="s">
        <v>141</v>
      </c>
      <c r="C133" s="152"/>
    </row>
    <row r="134" spans="1:6" x14ac:dyDescent="0.5">
      <c r="A134" s="256" t="str">
        <f ca="1">INDIRECT(CONCATENATE("[",$I$2,".xlsx]",$I$4,"!A134"))</f>
        <v>Arbeitslosenversicherung</v>
      </c>
      <c r="B134" s="251">
        <f ca="1">INDIRECT(CONCATENATE("[",$I$2,".xlsx]",$I$4,"!C134"))</f>
        <v>0.03</v>
      </c>
      <c r="C134" s="154"/>
    </row>
    <row r="135" spans="1:6" x14ac:dyDescent="0.5">
      <c r="A135" s="257" t="str">
        <f ca="1">INDIRECT(CONCATENATE("[",$I$2,".xlsx]",$I$4,"!A135"))</f>
        <v>Zuschlag Insolvenzentgeltsicherung</v>
      </c>
      <c r="B135" s="252">
        <f ca="1">INDIRECT(CONCATENATE("[",$I$2,".xlsx]",$I$4,"!C135"))</f>
        <v>1E-3</v>
      </c>
      <c r="C135" s="154"/>
    </row>
    <row r="136" spans="1:6" x14ac:dyDescent="0.5">
      <c r="A136" s="257" t="str">
        <f ca="1">INDIRECT(CONCATENATE("[",$I$2,".xlsx]",$I$4,"!A136"))</f>
        <v>Pensionsversicherung ASVG</v>
      </c>
      <c r="B136" s="252">
        <f ca="1">INDIRECT(CONCATENATE("[",$I$2,".xlsx]",$I$4,"!C136"))</f>
        <v>0.1255</v>
      </c>
      <c r="C136" s="154"/>
    </row>
    <row r="137" spans="1:6" x14ac:dyDescent="0.5">
      <c r="A137" s="257" t="str">
        <f ca="1">INDIRECT(CONCATENATE("[",$I$2,".xlsx]",$I$4,"!A137"))</f>
        <v>Krankenversicherung ASVG</v>
      </c>
      <c r="B137" s="252">
        <f ca="1">INDIRECT(CONCATENATE("[",$I$2,".xlsx]",$I$4,"!C137"))</f>
        <v>3.78E-2</v>
      </c>
      <c r="C137" s="154"/>
    </row>
    <row r="138" spans="1:6" x14ac:dyDescent="0.5">
      <c r="A138" s="257" t="str">
        <f ca="1">INDIRECT(CONCATENATE("[",$I$2,".xlsx]",$I$4,"!A138"))</f>
        <v>Unfallversicherung</v>
      </c>
      <c r="B138" s="252">
        <f ca="1">INDIRECT(CONCATENATE("[",$I$2,".xlsx]",$I$4,"!C138"))</f>
        <v>1.0999999999999999E-2</v>
      </c>
      <c r="C138" s="154"/>
    </row>
    <row r="139" spans="1:6" x14ac:dyDescent="0.5">
      <c r="A139" s="257" t="str">
        <f ca="1">INDIRECT(CONCATENATE("[",$I$2,".xlsx]",$I$4,"!A139"))</f>
        <v>Wohnbauförderungsbeitrag</v>
      </c>
      <c r="B139" s="252">
        <f ca="1">INDIRECT(CONCATENATE("[",$I$2,".xlsx]",$I$4,"!C139"))</f>
        <v>5.0000000000000001E-3</v>
      </c>
      <c r="C139" s="154"/>
    </row>
    <row r="140" spans="1:6" x14ac:dyDescent="0.5">
      <c r="A140" s="257" t="str">
        <f ca="1">INDIRECT(CONCATENATE("[",$I$2,".xlsx]",$I$4,"!A140"))</f>
        <v>Schlechtwetterentschädigungsbeitrag</v>
      </c>
      <c r="B140" s="252" t="str">
        <f ca="1">INDIRECT(CONCATENATE("[",$I$2,".xlsx]",$I$4,"!C140"))</f>
        <v/>
      </c>
      <c r="C140" s="154"/>
    </row>
    <row r="141" spans="1:6" x14ac:dyDescent="0.5">
      <c r="A141" s="257" t="str">
        <f ca="1">INDIRECT(CONCATENATE("[",$I$2,".xlsx]",$I$4,"!A141"))</f>
        <v>Familienlastenausgleichsfonds</v>
      </c>
      <c r="B141" s="252">
        <f ca="1">INDIRECT(CONCATENATE("[",$I$2,".xlsx]",$I$4,"!C141"))</f>
        <v>3.6999999999999998E-2</v>
      </c>
      <c r="C141" s="154"/>
    </row>
    <row r="142" spans="1:6" x14ac:dyDescent="0.5">
      <c r="A142" s="257" t="str">
        <f ca="1">INDIRECT(CONCATENATE("[",$I$2,".xlsx]",$I$4,"!A142"))</f>
        <v>Zuschlag FLAF (Kammeruml.; Durchschnittswert!!)</v>
      </c>
      <c r="B142" s="252">
        <f ca="1">INDIRECT(CONCATENATE("[",$I$2,".xlsx]",$I$4,"!C142"))</f>
        <v>3.8E-3</v>
      </c>
      <c r="C142" s="154"/>
    </row>
    <row r="143" spans="1:6" x14ac:dyDescent="0.5">
      <c r="A143" s="257" t="str">
        <f ca="1">INDIRECT(CONCATENATE("[",$I$2,".xlsx]",$I$4,"!A143"))</f>
        <v>Abfertigung Neu</v>
      </c>
      <c r="B143" s="252" t="str">
        <f ca="1">INDIRECT(CONCATENATE("[",$I$2,".xlsx]",$I$4,"!C143"))</f>
        <v/>
      </c>
      <c r="C143" s="154"/>
    </row>
    <row r="144" spans="1:6" x14ac:dyDescent="0.5">
      <c r="A144" s="257" t="str">
        <f ca="1">INDIRECT(CONCATENATE("[",$I$2,".xlsx]",$I$4,"!A144"))</f>
        <v>Kommunalsteuer</v>
      </c>
      <c r="B144" s="252">
        <f ca="1">INDIRECT(CONCATENATE("[",$I$2,".xlsx]",$I$4,"!C144"))</f>
        <v>0.03</v>
      </c>
      <c r="C144" s="154"/>
    </row>
    <row r="145" spans="1:5" x14ac:dyDescent="0.5">
      <c r="A145" s="257" t="str">
        <f ca="1">INDIRECT(CONCATENATE("[",$I$2,".xlsx]",$I$4,"!A145"))</f>
        <v xml:space="preserve"> </v>
      </c>
      <c r="B145" s="252" t="str">
        <f ca="1">INDIRECT(CONCATENATE("[",$I$2,".xlsx]",$I$4,"!C145"))</f>
        <v/>
      </c>
      <c r="C145" s="154"/>
    </row>
    <row r="146" spans="1:5" x14ac:dyDescent="0.5">
      <c r="A146" s="258" t="str">
        <f ca="1">INDIRECT(CONCATENATE("[",$I$2,".xlsx]",$I$4,"!A146"))</f>
        <v xml:space="preserve"> </v>
      </c>
      <c r="B146" s="253" t="str">
        <f ca="1">INDIRECT(CONCATENATE("[",$I$2,".xlsx]",$I$4,"!C146"))</f>
        <v/>
      </c>
      <c r="C146" s="154"/>
    </row>
    <row r="147" spans="1:5" x14ac:dyDescent="0.5">
      <c r="A147" s="259" t="s">
        <v>185</v>
      </c>
      <c r="B147" s="195">
        <f ca="1">SUM(B134:B146)</f>
        <v>0.28110000000000002</v>
      </c>
      <c r="C147" s="155"/>
    </row>
    <row r="148" spans="1:5" x14ac:dyDescent="0.5">
      <c r="A148" s="1365"/>
      <c r="B148" s="1365"/>
      <c r="C148" s="136"/>
      <c r="D148" s="136"/>
      <c r="E148" s="136"/>
    </row>
    <row r="149" spans="1:5" x14ac:dyDescent="0.5">
      <c r="A149" s="209"/>
      <c r="B149" s="210"/>
      <c r="C149" s="1332" t="s">
        <v>276</v>
      </c>
      <c r="D149" s="1332" t="s">
        <v>326</v>
      </c>
      <c r="E149" s="1332" t="s">
        <v>187</v>
      </c>
    </row>
    <row r="150" spans="1:5" x14ac:dyDescent="0.5">
      <c r="A150" s="181"/>
      <c r="B150" s="205"/>
      <c r="C150" s="1333"/>
      <c r="D150" s="1333"/>
      <c r="E150" s="1333"/>
    </row>
    <row r="151" spans="1:5" ht="16.149999999999999" thickBot="1" x14ac:dyDescent="0.55000000000000004">
      <c r="A151" s="1334" t="s">
        <v>150</v>
      </c>
      <c r="B151" s="1335"/>
      <c r="C151" s="1333"/>
      <c r="D151" s="1333" t="s">
        <v>122</v>
      </c>
      <c r="E151" s="1333" t="s">
        <v>151</v>
      </c>
    </row>
    <row r="152" spans="1:5" x14ac:dyDescent="0.5">
      <c r="A152" s="1338" t="s">
        <v>297</v>
      </c>
      <c r="B152" s="1339"/>
      <c r="C152" s="248">
        <f ca="1">INDIRECT(CONCATENATE("[",$I$2,".xlsx]",$I$4,"!E152"))</f>
        <v>0.245</v>
      </c>
      <c r="D152" s="337"/>
      <c r="E152" s="249">
        <f ca="1">IF(ISBLANK(D152),C152,D152)</f>
        <v>0.245</v>
      </c>
    </row>
    <row r="153" spans="1:5" x14ac:dyDescent="0.5">
      <c r="A153" s="1336" t="s">
        <v>298</v>
      </c>
      <c r="B153" s="1337"/>
      <c r="C153" s="248">
        <f ca="1">INDIRECT(CONCATENATE("[",$I$2,".xlsx]",$I$4,"!E153"))</f>
        <v>0.14499999999999999</v>
      </c>
      <c r="D153" s="337"/>
      <c r="E153" s="249">
        <f ca="1">IF(ISBLANK(D153),C153,D153)</f>
        <v>0.14499999999999999</v>
      </c>
    </row>
    <row r="154" spans="1:5" x14ac:dyDescent="0.5">
      <c r="A154" s="1336" t="s">
        <v>299</v>
      </c>
      <c r="B154" s="1337"/>
      <c r="C154" s="248">
        <f ca="1">INDIRECT(CONCATENATE("[",$I$2,".xlsx]",$I$4,"!E154"))</f>
        <v>0</v>
      </c>
      <c r="D154" s="337"/>
      <c r="E154" s="249">
        <f ca="1">IF(ISBLANK(D154),C154,D154)</f>
        <v>0</v>
      </c>
    </row>
    <row r="155" spans="1:5" ht="16.149999999999999" thickBot="1" x14ac:dyDescent="0.55000000000000004">
      <c r="A155" s="1328" t="s">
        <v>300</v>
      </c>
      <c r="B155" s="1329"/>
      <c r="C155" s="248">
        <f ca="1">INDIRECT(CONCATENATE("[",$I$2,".xlsx]",$I$4,"!E155"))</f>
        <v>0.51</v>
      </c>
      <c r="D155" s="337"/>
      <c r="E155" s="249">
        <f ca="1">IF(ISBLANK(D155),C155,D155)</f>
        <v>0.51</v>
      </c>
    </row>
    <row r="156" spans="1:5" x14ac:dyDescent="0.5">
      <c r="A156" s="1330" t="s">
        <v>67</v>
      </c>
      <c r="B156" s="1331"/>
      <c r="C156" s="247">
        <f ca="1">SUM(C152:C155)</f>
        <v>0.9</v>
      </c>
      <c r="D156" s="247"/>
      <c r="E156" s="247">
        <f ca="1">SUM(E152:E155)</f>
        <v>0.9</v>
      </c>
    </row>
    <row r="157" spans="1:5" x14ac:dyDescent="0.5">
      <c r="A157" s="305"/>
      <c r="B157" s="305"/>
      <c r="C157" s="305"/>
      <c r="D157" s="305"/>
      <c r="E157" s="305"/>
    </row>
  </sheetData>
  <sheetProtection password="B984" sheet="1" objects="1" scenarios="1" selectLockedCells="1"/>
  <mergeCells count="49">
    <mergeCell ref="H6:H8"/>
    <mergeCell ref="G11:G13"/>
    <mergeCell ref="A148:B148"/>
    <mergeCell ref="B117:D117"/>
    <mergeCell ref="A112:A113"/>
    <mergeCell ref="B112:D112"/>
    <mergeCell ref="B129:F129"/>
    <mergeCell ref="A128:F128"/>
    <mergeCell ref="B131:B132"/>
    <mergeCell ref="G1:G2"/>
    <mergeCell ref="A2:F2"/>
    <mergeCell ref="E149:E151"/>
    <mergeCell ref="F5:F6"/>
    <mergeCell ref="D5:D6"/>
    <mergeCell ref="A34:F34"/>
    <mergeCell ref="A98:A99"/>
    <mergeCell ref="A5:A6"/>
    <mergeCell ref="B5:B6"/>
    <mergeCell ref="C5:C6"/>
    <mergeCell ref="A96:D96"/>
    <mergeCell ref="B98:D98"/>
    <mergeCell ref="E5:E6"/>
    <mergeCell ref="A66:C66"/>
    <mergeCell ref="A35:F35"/>
    <mergeCell ref="A64:C65"/>
    <mergeCell ref="A155:B155"/>
    <mergeCell ref="A156:B156"/>
    <mergeCell ref="C149:C151"/>
    <mergeCell ref="D149:D151"/>
    <mergeCell ref="A151:B151"/>
    <mergeCell ref="A153:B153"/>
    <mergeCell ref="A152:B152"/>
    <mergeCell ref="A154:B154"/>
    <mergeCell ref="L1:P1"/>
    <mergeCell ref="G14:G33"/>
    <mergeCell ref="L13:P13"/>
    <mergeCell ref="A126:D127"/>
    <mergeCell ref="E36:F45"/>
    <mergeCell ref="H11:J21"/>
    <mergeCell ref="H1:J1"/>
    <mergeCell ref="I6:J8"/>
    <mergeCell ref="A1:F1"/>
    <mergeCell ref="E4:F4"/>
    <mergeCell ref="G3:G10"/>
    <mergeCell ref="H5:J5"/>
    <mergeCell ref="B3:F3"/>
    <mergeCell ref="A117:A118"/>
    <mergeCell ref="A36:C36"/>
    <mergeCell ref="A95:C95"/>
  </mergeCells>
  <conditionalFormatting sqref="B100:D111">
    <cfRule type="cellIs" dxfId="178" priority="27" operator="equal">
      <formula>0</formula>
    </cfRule>
  </conditionalFormatting>
  <conditionalFormatting sqref="B114:D116">
    <cfRule type="cellIs" dxfId="177" priority="26" operator="equal">
      <formula>0</formula>
    </cfRule>
  </conditionalFormatting>
  <conditionalFormatting sqref="B119:D124">
    <cfRule type="cellIs" dxfId="176" priority="25" operator="equal">
      <formula>0</formula>
    </cfRule>
  </conditionalFormatting>
  <conditionalFormatting sqref="C68:C94">
    <cfRule type="cellIs" dxfId="175" priority="24" operator="equal">
      <formula>0</formula>
    </cfRule>
  </conditionalFormatting>
  <conditionalFormatting sqref="B68:B94">
    <cfRule type="cellIs" dxfId="174" priority="23" operator="equal">
      <formula>0</formula>
    </cfRule>
  </conditionalFormatting>
  <conditionalFormatting sqref="B56:B60">
    <cfRule type="cellIs" dxfId="173" priority="22" operator="equal">
      <formula>0</formula>
    </cfRule>
  </conditionalFormatting>
  <conditionalFormatting sqref="C39:C48">
    <cfRule type="cellIs" dxfId="172" priority="21" operator="equal">
      <formula>0</formula>
    </cfRule>
  </conditionalFormatting>
  <conditionalFormatting sqref="C50:C54">
    <cfRule type="cellIs" dxfId="171" priority="20" operator="equal">
      <formula>0</formula>
    </cfRule>
  </conditionalFormatting>
  <conditionalFormatting sqref="E7:E33">
    <cfRule type="cellIs" dxfId="170" priority="19" operator="equal">
      <formula>0</formula>
    </cfRule>
  </conditionalFormatting>
  <conditionalFormatting sqref="B7:B33">
    <cfRule type="cellIs" dxfId="169" priority="18" operator="equal">
      <formula>0</formula>
    </cfRule>
  </conditionalFormatting>
  <conditionalFormatting sqref="D7:D33">
    <cfRule type="cellIs" dxfId="168" priority="17" operator="equal">
      <formula>0</formula>
    </cfRule>
  </conditionalFormatting>
  <conditionalFormatting sqref="F7:F33">
    <cfRule type="cellIs" dxfId="167" priority="16" operator="equal">
      <formula>0</formula>
    </cfRule>
  </conditionalFormatting>
  <conditionalFormatting sqref="A134:B146">
    <cfRule type="cellIs" dxfId="166" priority="15" operator="equal">
      <formula>0</formula>
    </cfRule>
  </conditionalFormatting>
  <conditionalFormatting sqref="B130">
    <cfRule type="cellIs" dxfId="165" priority="14" operator="equal">
      <formula>0</formula>
    </cfRule>
  </conditionalFormatting>
  <conditionalFormatting sqref="I4">
    <cfRule type="expression" dxfId="164" priority="12">
      <formula>$I$4=$I$3</formula>
    </cfRule>
  </conditionalFormatting>
  <conditionalFormatting sqref="C37">
    <cfRule type="cellIs" dxfId="163" priority="11" operator="equal">
      <formula>0</formula>
    </cfRule>
  </conditionalFormatting>
  <conditionalFormatting sqref="H2:H3">
    <cfRule type="expression" dxfId="162" priority="9">
      <formula>ISNUMBER(B7)=FALSE</formula>
    </cfRule>
  </conditionalFormatting>
  <conditionalFormatting sqref="B3 G3 H6 I6">
    <cfRule type="expression" dxfId="161" priority="6">
      <formula>_Verband&gt;1</formula>
    </cfRule>
  </conditionalFormatting>
  <conditionalFormatting sqref="I6:J8">
    <cfRule type="expression" dxfId="160" priority="5">
      <formula>_OK_KV?&lt;&gt;"OK_KV!"</formula>
    </cfRule>
  </conditionalFormatting>
  <conditionalFormatting sqref="I2">
    <cfRule type="expression" dxfId="159" priority="2">
      <formula>ISNUMBER(B7)=FALSE</formula>
    </cfRule>
  </conditionalFormatting>
  <conditionalFormatting sqref="I3">
    <cfRule type="expression" dxfId="158" priority="1">
      <formula>ISNUMBER(B8)=FALSE</formula>
    </cfRule>
  </conditionalFormatting>
  <dataValidations disablePrompts="1" count="2">
    <dataValidation type="decimal" errorStyle="warning" allowBlank="1" showInputMessage="1" showErrorMessage="1" error="Wert erscheint hoch! Eingabe prüfen!" sqref="C142:C145" xr:uid="{A1F39E7D-123E-44B3-81A3-4AAC8816F6E4}">
      <formula1>0</formula1>
      <formula2>0.1</formula2>
    </dataValidation>
    <dataValidation type="decimal" errorStyle="warning" allowBlank="1" showInputMessage="1" showErrorMessage="1" error="Wert erscheint hoch oder negative Werte nicht zulässig! Eingabe prüfen!" sqref="C134:C143 C146" xr:uid="{97C3EEB1-E050-4992-9096-E21192D2C3FA}">
      <formula1>0</formula1>
      <formula2>0.15</formula2>
    </dataValidation>
  </dataValidations>
  <pageMargins left="0.7" right="0.7" top="0.78740157499999996" bottom="0.78740157499999996" header="0.3" footer="0.3"/>
  <pageSetup paperSize="9" orientation="portrait" r:id="rId1"/>
  <headerFooter>
    <oddFooter>&amp;L&amp;10K3-Stammdaten
Seite: &amp;P von &amp;N&amp;R&amp;10&amp;F</oddFooter>
  </headerFooter>
  <rowBreaks count="4" manualBreakCount="4">
    <brk id="35" max="16383" man="1"/>
    <brk id="65" max="16383" man="1"/>
    <brk id="95" max="16383" man="1"/>
    <brk id="127" max="16383" man="1"/>
  </rowBreaks>
  <ignoredErrors>
    <ignoredError sqref="B97:D109" evalError="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O599"/>
  <sheetViews>
    <sheetView showGridLines="0" tabSelected="1" zoomScaleNormal="100" zoomScaleSheetLayoutView="90" workbookViewId="0">
      <selection activeCell="D10" sqref="D10:G11"/>
    </sheetView>
  </sheetViews>
  <sheetFormatPr baseColWidth="10" defaultColWidth="10.6640625" defaultRowHeight="17.850000000000001" customHeight="1" x14ac:dyDescent="0.45"/>
  <cols>
    <col min="1" max="1" width="8.88671875" style="57" customWidth="1"/>
    <col min="2" max="2" width="9" style="57" customWidth="1"/>
    <col min="3" max="3" width="8.5546875" style="57" customWidth="1"/>
    <col min="4" max="4" width="9" style="57" customWidth="1"/>
    <col min="5" max="8" width="8.5546875" style="57" customWidth="1"/>
    <col min="9" max="9" width="2.109375" style="57" customWidth="1"/>
    <col min="10" max="11" width="11.5546875" style="57" customWidth="1"/>
    <col min="12" max="12" width="15.44140625" style="912" customWidth="1"/>
    <col min="13" max="13" width="10.6640625" style="911" hidden="1" customWidth="1"/>
    <col min="14" max="14" width="4.88671875" style="911" hidden="1" customWidth="1"/>
    <col min="15" max="15" width="10.6640625" style="912"/>
    <col min="16" max="16384" width="10.6640625" style="57"/>
  </cols>
  <sheetData>
    <row r="1" spans="1:14" ht="30" customHeight="1" x14ac:dyDescent="0.45">
      <c r="A1" s="1557" t="s">
        <v>249</v>
      </c>
      <c r="B1" s="1558"/>
      <c r="C1" s="1558"/>
      <c r="D1" s="1558"/>
      <c r="E1" s="1558"/>
      <c r="F1" s="1558"/>
      <c r="G1" s="1558"/>
      <c r="H1" s="1558"/>
      <c r="I1" s="1559"/>
      <c r="J1" s="1901" t="s">
        <v>378</v>
      </c>
      <c r="K1" s="1901"/>
      <c r="L1" s="1902"/>
    </row>
    <row r="2" spans="1:14" ht="17.45" customHeight="1" x14ac:dyDescent="0.45">
      <c r="A2" s="1432" t="s">
        <v>652</v>
      </c>
      <c r="B2" s="1907"/>
      <c r="C2" s="1907"/>
      <c r="D2" s="1907"/>
      <c r="E2" s="1907"/>
      <c r="F2" s="1003"/>
      <c r="G2" s="1004"/>
      <c r="H2" s="1005" t="s">
        <v>22</v>
      </c>
      <c r="I2" s="1006"/>
      <c r="J2" s="1903"/>
      <c r="K2" s="1903"/>
      <c r="L2" s="1904"/>
    </row>
    <row r="3" spans="1:14" ht="17.45" customHeight="1" x14ac:dyDescent="0.45">
      <c r="A3" s="1433"/>
      <c r="B3" s="1907"/>
      <c r="C3" s="1907"/>
      <c r="D3" s="1907"/>
      <c r="E3" s="1907"/>
      <c r="F3" s="1007"/>
      <c r="G3" s="1008"/>
      <c r="H3" s="1009" t="s">
        <v>22</v>
      </c>
      <c r="I3" s="1010"/>
      <c r="J3" s="1903"/>
      <c r="K3" s="1903"/>
      <c r="L3" s="1904"/>
    </row>
    <row r="4" spans="1:14" ht="17.45" customHeight="1" x14ac:dyDescent="0.45">
      <c r="A4" s="1434"/>
      <c r="B4" s="1907"/>
      <c r="C4" s="1907"/>
      <c r="D4" s="1907"/>
      <c r="E4" s="1907"/>
      <c r="F4" s="1011"/>
      <c r="G4" s="1012"/>
      <c r="H4" s="1451"/>
      <c r="I4" s="1452"/>
      <c r="J4" s="1905"/>
      <c r="K4" s="1905"/>
      <c r="L4" s="1906"/>
    </row>
    <row r="5" spans="1:14" ht="17.850000000000001" customHeight="1" x14ac:dyDescent="0.45">
      <c r="A5" s="367" t="s">
        <v>254</v>
      </c>
      <c r="B5" s="502" t="str">
        <f>'Lizenz u lies mich'!B32:C32</f>
        <v>Vers. 3.0</v>
      </c>
      <c r="C5" s="368" t="s">
        <v>482</v>
      </c>
      <c r="D5" s="1595" t="str">
        <f ca="1">'Lizenz u lies mich'!B29</f>
        <v>Nur als Testversion nutzbar!</v>
      </c>
      <c r="E5" s="1595"/>
      <c r="F5" s="1595"/>
      <c r="G5" s="1596"/>
      <c r="H5" s="1593">
        <f ca="1">'Lizenz u lies mich'!B15</f>
        <v>-15</v>
      </c>
      <c r="I5" s="1594"/>
      <c r="J5" s="1767" t="str">
        <f ca="1">Stammdaten!H11</f>
        <v/>
      </c>
      <c r="K5" s="1767"/>
      <c r="L5" s="1771" t="str">
        <f ca="1">IF(H5&lt;30,"Lizenz läuft in Kürze ab / ist abgelaufen. Sie können eine Lizenz auf www.bauwesen.at/k3 für ihr Unternehmen erwerben.","")</f>
        <v>Lizenz läuft in Kürze ab / ist abgelaufen. Sie können eine Lizenz auf www.bauwesen.at/k3 für ihr Unternehmen erwerben.</v>
      </c>
      <c r="M5" s="911" t="s">
        <v>456</v>
      </c>
    </row>
    <row r="6" spans="1:14" ht="17.850000000000001" customHeight="1" x14ac:dyDescent="0.45">
      <c r="A6" s="1604" t="s">
        <v>163</v>
      </c>
      <c r="B6" s="1605"/>
      <c r="C6" s="1605"/>
      <c r="D6" s="1605"/>
      <c r="E6" s="1605"/>
      <c r="F6" s="1605"/>
      <c r="G6" s="1605"/>
      <c r="H6" s="1605"/>
      <c r="I6" s="1606"/>
      <c r="J6" s="1767"/>
      <c r="K6" s="1767"/>
      <c r="L6" s="1771"/>
      <c r="M6" s="913"/>
    </row>
    <row r="7" spans="1:14" ht="17.850000000000001" customHeight="1" x14ac:dyDescent="0.45">
      <c r="A7" s="1620" t="s">
        <v>627</v>
      </c>
      <c r="B7" s="1621"/>
      <c r="C7" s="1622"/>
      <c r="D7" s="1560" t="str">
        <f ca="1">'Lizenz u lies mich'!B22</f>
        <v>Nur als Testversion nutzbar!</v>
      </c>
      <c r="E7" s="1561"/>
      <c r="F7" s="1561"/>
      <c r="G7" s="1561"/>
      <c r="H7" s="1564" t="str">
        <f ca="1">IF(_OK?="OK!",IF(_Verband&gt;=1,"Sie können ihre Daten im Blatt 'Lizenz' eintragen.","Die Daten entsprechen jenen ihres Lizenzantrags."),"Lizenz erforderlich! Bestellung unter bauwesen.at/k3")</f>
        <v>Lizenz erforderlich! Bestellung unter bauwesen.at/k3</v>
      </c>
      <c r="I7" s="1565"/>
      <c r="J7" s="1767"/>
      <c r="K7" s="1767"/>
      <c r="L7" s="1771"/>
      <c r="M7" s="913">
        <v>0</v>
      </c>
      <c r="N7" s="913">
        <v>1</v>
      </c>
    </row>
    <row r="8" spans="1:14" ht="17.850000000000001" customHeight="1" x14ac:dyDescent="0.45">
      <c r="A8" s="1388"/>
      <c r="B8" s="1623"/>
      <c r="C8" s="1624"/>
      <c r="D8" s="1560" t="str">
        <f>'Lizenz u lies mich'!B23</f>
        <v>Musterstraße</v>
      </c>
      <c r="E8" s="1561"/>
      <c r="F8" s="1561"/>
      <c r="G8" s="1561"/>
      <c r="H8" s="1564"/>
      <c r="I8" s="1565"/>
      <c r="J8" s="1767"/>
      <c r="K8" s="1767"/>
      <c r="L8" s="1771"/>
      <c r="M8" s="913">
        <v>1</v>
      </c>
      <c r="N8" s="913">
        <v>2</v>
      </c>
    </row>
    <row r="9" spans="1:14" ht="17.850000000000001" customHeight="1" x14ac:dyDescent="0.45">
      <c r="A9" s="1625"/>
      <c r="B9" s="1626"/>
      <c r="C9" s="1627"/>
      <c r="D9" s="1562" t="str">
        <f>'Lizenz u lies mich'!B24</f>
        <v/>
      </c>
      <c r="E9" s="1563"/>
      <c r="F9" s="1563"/>
      <c r="G9" s="1563"/>
      <c r="H9" s="1564"/>
      <c r="I9" s="1565"/>
      <c r="J9" s="1767"/>
      <c r="K9" s="1767"/>
      <c r="L9" s="1771"/>
      <c r="M9" s="913">
        <v>2</v>
      </c>
      <c r="N9" s="913">
        <v>3</v>
      </c>
    </row>
    <row r="10" spans="1:14" ht="17.850000000000001" customHeight="1" x14ac:dyDescent="0.45">
      <c r="A10" s="1612" t="s">
        <v>492</v>
      </c>
      <c r="B10" s="1613"/>
      <c r="C10" s="1614"/>
      <c r="D10" s="1470" t="s">
        <v>704</v>
      </c>
      <c r="E10" s="1471"/>
      <c r="F10" s="1471"/>
      <c r="G10" s="1471"/>
      <c r="H10" s="215"/>
      <c r="I10" s="1123"/>
      <c r="J10" s="1767"/>
      <c r="K10" s="1767"/>
      <c r="L10" s="1771"/>
      <c r="M10" s="913">
        <v>3</v>
      </c>
      <c r="N10" s="913">
        <v>4</v>
      </c>
    </row>
    <row r="11" spans="1:14" ht="17.850000000000001" customHeight="1" x14ac:dyDescent="0.45">
      <c r="A11" s="1615"/>
      <c r="B11" s="1616"/>
      <c r="C11" s="1617"/>
      <c r="D11" s="1472"/>
      <c r="E11" s="1473"/>
      <c r="F11" s="1473"/>
      <c r="G11" s="1473"/>
      <c r="H11" s="215"/>
      <c r="I11" s="1123"/>
      <c r="J11" s="1767"/>
      <c r="K11" s="1767"/>
      <c r="L11" s="1771"/>
      <c r="M11" s="913">
        <v>4</v>
      </c>
      <c r="N11" s="913"/>
    </row>
    <row r="12" spans="1:14" ht="17.850000000000001" customHeight="1" x14ac:dyDescent="0.45">
      <c r="A12" s="1628" t="s">
        <v>594</v>
      </c>
      <c r="B12" s="1629"/>
      <c r="C12" s="1630"/>
      <c r="D12" s="1470" t="s">
        <v>698</v>
      </c>
      <c r="E12" s="1471"/>
      <c r="F12" s="1471"/>
      <c r="G12" s="1471"/>
      <c r="H12" s="215"/>
      <c r="I12" s="1123"/>
      <c r="J12" s="1767"/>
      <c r="K12" s="1767"/>
      <c r="L12" s="1771"/>
    </row>
    <row r="13" spans="1:14" ht="17.850000000000001" customHeight="1" x14ac:dyDescent="0.45">
      <c r="A13" s="1330"/>
      <c r="B13" s="1428"/>
      <c r="C13" s="1331"/>
      <c r="D13" s="1472"/>
      <c r="E13" s="1473"/>
      <c r="F13" s="1473"/>
      <c r="G13" s="1473"/>
      <c r="H13" s="215"/>
      <c r="I13" s="1123"/>
      <c r="J13" s="1767"/>
      <c r="K13" s="1767"/>
      <c r="L13" s="1771"/>
    </row>
    <row r="14" spans="1:14" ht="17.850000000000001" customHeight="1" x14ac:dyDescent="0.45">
      <c r="A14" s="66" t="s">
        <v>252</v>
      </c>
      <c r="B14" s="1457" t="s">
        <v>692</v>
      </c>
      <c r="C14" s="1601"/>
      <c r="D14" s="1599" t="s">
        <v>88</v>
      </c>
      <c r="E14" s="1600"/>
      <c r="F14" s="1602">
        <v>45047</v>
      </c>
      <c r="G14" s="1603"/>
      <c r="H14" s="215"/>
      <c r="I14" s="1123"/>
      <c r="J14" s="1767"/>
      <c r="K14" s="1767"/>
      <c r="L14" s="1771"/>
    </row>
    <row r="15" spans="1:14" ht="17.850000000000001" customHeight="1" x14ac:dyDescent="0.45">
      <c r="A15" s="68" t="s">
        <v>253</v>
      </c>
      <c r="B15" s="1398" t="s">
        <v>693</v>
      </c>
      <c r="C15" s="1400"/>
      <c r="D15" s="69"/>
      <c r="E15" s="69"/>
      <c r="F15" s="69"/>
      <c r="G15" s="69"/>
      <c r="H15" s="215"/>
      <c r="I15" s="1123"/>
      <c r="J15" s="1767"/>
      <c r="K15" s="1767"/>
      <c r="L15" s="1771"/>
    </row>
    <row r="16" spans="1:14" ht="17.850000000000001" customHeight="1" x14ac:dyDescent="0.45">
      <c r="A16" s="1635" t="s">
        <v>580</v>
      </c>
      <c r="B16" s="1636"/>
      <c r="C16" s="1636"/>
      <c r="D16" s="1636"/>
      <c r="E16" s="1636"/>
      <c r="F16" s="1637"/>
      <c r="G16" s="1638"/>
      <c r="H16" s="215"/>
      <c r="I16" s="1124"/>
      <c r="J16" s="1767"/>
      <c r="K16" s="1767"/>
      <c r="L16" s="1771"/>
    </row>
    <row r="17" spans="1:12" ht="17.850000000000001" customHeight="1" x14ac:dyDescent="0.55000000000000004">
      <c r="A17" s="1609" t="s">
        <v>317</v>
      </c>
      <c r="B17" s="1610"/>
      <c r="C17" s="1611" t="str">
        <f>IF(C18=F18,"Mittellohnkosten","Mittelgehaltkosten")</f>
        <v>Mittellohnkosten</v>
      </c>
      <c r="D17" s="1611"/>
      <c r="E17" s="336" t="s">
        <v>309</v>
      </c>
      <c r="F17" s="1634" t="str">
        <f>IF(C18=F18,"Mittellohnpreis","Mittelgehaltpreis")</f>
        <v>Mittellohnpreis</v>
      </c>
      <c r="G17" s="1634"/>
      <c r="H17" s="1634"/>
      <c r="I17" s="1125"/>
      <c r="J17" s="67"/>
      <c r="K17" s="67"/>
      <c r="L17" s="914"/>
    </row>
    <row r="18" spans="1:12" ht="17.850000000000001" customHeight="1" x14ac:dyDescent="0.5">
      <c r="A18" s="1607" t="s">
        <v>493</v>
      </c>
      <c r="B18" s="1608"/>
      <c r="C18" s="335" t="s">
        <v>8</v>
      </c>
      <c r="D18" s="216"/>
      <c r="E18" s="216"/>
      <c r="F18" s="301" t="s">
        <v>8</v>
      </c>
      <c r="G18" s="301" t="s">
        <v>247</v>
      </c>
      <c r="H18" s="216"/>
      <c r="I18" s="1126"/>
      <c r="J18" s="1768" t="str">
        <f>IF(OR(ISBLANK(C18),ISBLANK(C19)),"Bitte Auswählen: Lohn / Gehalt bzw Montage / Fertigung","")</f>
        <v/>
      </c>
      <c r="K18" s="1768"/>
      <c r="L18" s="914"/>
    </row>
    <row r="19" spans="1:12" ht="17.850000000000001" customHeight="1" x14ac:dyDescent="0.45">
      <c r="A19" s="1607"/>
      <c r="B19" s="1608"/>
      <c r="C19" s="306" t="s">
        <v>248</v>
      </c>
      <c r="D19" s="216"/>
      <c r="E19" s="216"/>
      <c r="F19" s="302" t="s">
        <v>248</v>
      </c>
      <c r="G19" s="302" t="s">
        <v>250</v>
      </c>
      <c r="H19" s="216"/>
      <c r="I19" s="1126"/>
      <c r="J19" s="1768"/>
      <c r="K19" s="1768"/>
      <c r="L19" s="914"/>
    </row>
    <row r="20" spans="1:12" ht="17.850000000000001" customHeight="1" x14ac:dyDescent="0.45">
      <c r="A20" s="1597" t="s">
        <v>192</v>
      </c>
      <c r="B20" s="1597"/>
      <c r="C20" s="1597"/>
      <c r="D20" s="1597"/>
      <c r="E20" s="1597"/>
      <c r="F20" s="1597"/>
      <c r="G20" s="1597"/>
      <c r="H20" s="1598"/>
      <c r="I20" s="1127"/>
      <c r="J20" s="1769" t="str">
        <f ca="1">IFERROR(IF(_OK_KV?&lt;&gt;"OK_KV!",Stammdaten!L13,""),"Quelldatei scheint nicht geöffnet, falsche Verweise auf den Datei- und Blattnamen (siehe Stammdaten) oder unzulässiger KollV verwendet (nur relevant bei Verbandslizenzierung für Mitgliedsbetriebe)!")</f>
        <v/>
      </c>
      <c r="K20" s="1769"/>
      <c r="L20" s="1770"/>
    </row>
    <row r="21" spans="1:12" ht="17.850000000000001" customHeight="1" x14ac:dyDescent="0.45">
      <c r="A21" s="1639" t="s">
        <v>542</v>
      </c>
      <c r="B21" s="1640"/>
      <c r="C21" s="1640"/>
      <c r="D21" s="778" t="str">
        <f ca="1">IF((TODAY()-D22)&gt;365,"KV älter als 1 Jahr!","")</f>
        <v/>
      </c>
      <c r="E21" s="1641" t="s">
        <v>23</v>
      </c>
      <c r="F21" s="1380" t="s">
        <v>188</v>
      </c>
      <c r="G21" s="1380" t="s">
        <v>167</v>
      </c>
      <c r="H21" s="1632" t="s">
        <v>168</v>
      </c>
      <c r="I21" s="1127"/>
      <c r="J21" s="1769"/>
      <c r="K21" s="1769"/>
      <c r="L21" s="1770"/>
    </row>
    <row r="22" spans="1:12" ht="17.850000000000001" customHeight="1" thickBot="1" x14ac:dyDescent="0.5">
      <c r="A22" s="737" t="str">
        <f ca="1">Stammdaten!B3</f>
        <v>KollV Hafner, Platten- und Fliesenleger</v>
      </c>
      <c r="B22" s="738"/>
      <c r="C22" s="738"/>
      <c r="D22" s="739">
        <f ca="1">Stammdaten!B4</f>
        <v>45047</v>
      </c>
      <c r="E22" s="1642"/>
      <c r="F22" s="1631"/>
      <c r="G22" s="1631"/>
      <c r="H22" s="1633"/>
      <c r="I22" s="1127"/>
      <c r="J22" s="1769"/>
      <c r="K22" s="1769"/>
      <c r="L22" s="1770"/>
    </row>
    <row r="23" spans="1:12" ht="17.850000000000001" customHeight="1" thickTop="1" x14ac:dyDescent="0.45">
      <c r="A23" s="1457" t="s">
        <v>699</v>
      </c>
      <c r="B23" s="1458"/>
      <c r="C23" s="1601"/>
      <c r="D23" s="77">
        <f ca="1">IFERROR(VLOOKUP(A23,Stammdaten!A$7:D$33,4,FALSE),"&lt;-- Prüfen!")</f>
        <v>16.36</v>
      </c>
      <c r="E23" s="263">
        <v>1</v>
      </c>
      <c r="F23" s="268">
        <f>IFERROR(IF(A23&lt;&gt;"",E23/E$32,""),"")</f>
        <v>0.5</v>
      </c>
      <c r="G23" s="77">
        <f ca="1">IFERROR(VLOOKUP(A23,Stammdaten!A$7:F$33,4,FALSE)*F23,"")</f>
        <v>8.18</v>
      </c>
      <c r="H23" s="159">
        <f ca="1">IFERROR(VLOOKUP(A23,Stammdaten!A$7:F$33,6,FALSE)*F23,"")</f>
        <v>1.23</v>
      </c>
      <c r="I23" s="1128"/>
      <c r="J23" s="1484" t="str">
        <f>IF(AND(ISBLANK(A23),E23&gt;0),"Auswahl fehlt oder Anzahl löschen!","")</f>
        <v/>
      </c>
      <c r="K23" s="1484"/>
      <c r="L23" s="914"/>
    </row>
    <row r="24" spans="1:12" ht="17.850000000000001" customHeight="1" x14ac:dyDescent="0.45">
      <c r="A24" s="1398" t="s">
        <v>700</v>
      </c>
      <c r="B24" s="1399"/>
      <c r="C24" s="1400"/>
      <c r="D24" s="77">
        <f ca="1">IFERROR(VLOOKUP(A24,Stammdaten!A$7:D$33,4,FALSE),"&lt;-- Prüfen!")</f>
        <v>13.92</v>
      </c>
      <c r="E24" s="72">
        <v>1</v>
      </c>
      <c r="F24" s="268">
        <f t="shared" ref="F24:F31" si="0">IFERROR(IF(A24&lt;&gt;"",E24/E$32,""),"")</f>
        <v>0.5</v>
      </c>
      <c r="G24" s="73">
        <f ca="1">IFERROR(VLOOKUP(A24,Stammdaten!A$7:F$33,4,FALSE)*F24,"")</f>
        <v>6.96</v>
      </c>
      <c r="H24" s="113">
        <f ca="1">IFERROR(VLOOKUP(A24,Stammdaten!A$7:F$33,6,FALSE)*F24,"")</f>
        <v>0.7</v>
      </c>
      <c r="I24" s="1128"/>
      <c r="J24" s="1484" t="str">
        <f t="shared" ref="J24:J31" si="1">IF(AND(ISBLANK(A24),E24&gt;0),"Auswahl fehlt oder Anzahl löschen!","")</f>
        <v/>
      </c>
      <c r="K24" s="1484"/>
      <c r="L24" s="914"/>
    </row>
    <row r="25" spans="1:12" ht="17.850000000000001" customHeight="1" x14ac:dyDescent="0.45">
      <c r="A25" s="1398"/>
      <c r="B25" s="1399"/>
      <c r="C25" s="1400"/>
      <c r="D25" s="77">
        <f ca="1">IFERROR(VLOOKUP(A25,Stammdaten!A$7:D$33,4,FALSE),"&lt;-- Prüfen!")</f>
        <v>0</v>
      </c>
      <c r="E25" s="72"/>
      <c r="F25" s="268" t="str">
        <f t="shared" si="0"/>
        <v/>
      </c>
      <c r="G25" s="73" t="str">
        <f ca="1">IFERROR(VLOOKUP(A25,Stammdaten!A$7:F$33,4,FALSE)*F25,"")</f>
        <v/>
      </c>
      <c r="H25" s="113" t="str">
        <f ca="1">IFERROR(VLOOKUP(A25,Stammdaten!A$7:F$33,6,FALSE)*F25,"")</f>
        <v/>
      </c>
      <c r="I25" s="1128"/>
      <c r="J25" s="1484" t="str">
        <f t="shared" si="1"/>
        <v/>
      </c>
      <c r="K25" s="1484"/>
      <c r="L25" s="914"/>
    </row>
    <row r="26" spans="1:12" ht="17.850000000000001" customHeight="1" x14ac:dyDescent="0.45">
      <c r="A26" s="1398"/>
      <c r="B26" s="1399"/>
      <c r="C26" s="1400"/>
      <c r="D26" s="77">
        <f ca="1">IFERROR(VLOOKUP(A26,Stammdaten!A$7:D$33,4,FALSE),"&lt;-- Prüfen!")</f>
        <v>0</v>
      </c>
      <c r="E26" s="72"/>
      <c r="F26" s="268" t="str">
        <f t="shared" si="0"/>
        <v/>
      </c>
      <c r="G26" s="73" t="str">
        <f ca="1">IFERROR(VLOOKUP(A26,Stammdaten!A$7:F$33,4,FALSE)*F26,"")</f>
        <v/>
      </c>
      <c r="H26" s="113" t="str">
        <f ca="1">IFERROR(VLOOKUP(A26,Stammdaten!A$7:F$33,6,FALSE)*F26,"")</f>
        <v/>
      </c>
      <c r="I26" s="1128"/>
      <c r="J26" s="1484" t="str">
        <f t="shared" si="1"/>
        <v/>
      </c>
      <c r="K26" s="1484"/>
      <c r="L26" s="914"/>
    </row>
    <row r="27" spans="1:12" ht="17.850000000000001" customHeight="1" x14ac:dyDescent="0.45">
      <c r="A27" s="1398"/>
      <c r="B27" s="1399"/>
      <c r="C27" s="1400"/>
      <c r="D27" s="77">
        <f ca="1">IFERROR(VLOOKUP(A27,Stammdaten!A$7:D$33,4,FALSE),"&lt;-- Prüfen!")</f>
        <v>0</v>
      </c>
      <c r="E27" s="72"/>
      <c r="F27" s="268" t="str">
        <f t="shared" si="0"/>
        <v/>
      </c>
      <c r="G27" s="73" t="str">
        <f ca="1">IFERROR(VLOOKUP(A27,Stammdaten!A$7:F$33,4,FALSE)*F27,"")</f>
        <v/>
      </c>
      <c r="H27" s="113" t="str">
        <f ca="1">IFERROR(VLOOKUP(A27,Stammdaten!A$7:F$33,6,FALSE)*F27,"")</f>
        <v/>
      </c>
      <c r="I27" s="1128"/>
      <c r="J27" s="1484" t="str">
        <f t="shared" si="1"/>
        <v/>
      </c>
      <c r="K27" s="1484"/>
      <c r="L27" s="914"/>
    </row>
    <row r="28" spans="1:12" ht="17.850000000000001" customHeight="1" x14ac:dyDescent="0.45">
      <c r="A28" s="1398"/>
      <c r="B28" s="1399"/>
      <c r="C28" s="1400"/>
      <c r="D28" s="77">
        <f ca="1">IFERROR(VLOOKUP(A28,Stammdaten!A$7:D$33,4,FALSE),"&lt;-- Prüfen!")</f>
        <v>0</v>
      </c>
      <c r="E28" s="72"/>
      <c r="F28" s="268" t="str">
        <f t="shared" si="0"/>
        <v/>
      </c>
      <c r="G28" s="73" t="str">
        <f ca="1">IFERROR(VLOOKUP(A28,Stammdaten!A$7:F$33,4,FALSE)*F28,"")</f>
        <v/>
      </c>
      <c r="H28" s="113" t="str">
        <f ca="1">IFERROR(VLOOKUP(A28,Stammdaten!A$7:F$33,6,FALSE)*F28,"")</f>
        <v/>
      </c>
      <c r="I28" s="1128"/>
      <c r="J28" s="1484" t="str">
        <f t="shared" si="1"/>
        <v/>
      </c>
      <c r="K28" s="1484"/>
      <c r="L28" s="914"/>
    </row>
    <row r="29" spans="1:12" ht="17.850000000000001" customHeight="1" x14ac:dyDescent="0.45">
      <c r="A29" s="1398"/>
      <c r="B29" s="1399"/>
      <c r="C29" s="1400"/>
      <c r="D29" s="77">
        <f ca="1">IFERROR(VLOOKUP(A29,Stammdaten!A$7:D$33,4,FALSE),"&lt;-- Prüfen!")</f>
        <v>0</v>
      </c>
      <c r="E29" s="72"/>
      <c r="F29" s="268" t="str">
        <f t="shared" si="0"/>
        <v/>
      </c>
      <c r="G29" s="73" t="str">
        <f ca="1">IFERROR(VLOOKUP(A29,Stammdaten!A$7:F$33,4,FALSE)*F29,"")</f>
        <v/>
      </c>
      <c r="H29" s="113" t="str">
        <f ca="1">IFERROR(VLOOKUP(A29,Stammdaten!A$7:F$33,6,FALSE)*F29,"")</f>
        <v/>
      </c>
      <c r="I29" s="1128"/>
      <c r="J29" s="1484" t="str">
        <f t="shared" si="1"/>
        <v/>
      </c>
      <c r="K29" s="1484"/>
      <c r="L29" s="914"/>
    </row>
    <row r="30" spans="1:12" ht="17.850000000000001" customHeight="1" x14ac:dyDescent="0.45">
      <c r="A30" s="1398"/>
      <c r="B30" s="1399"/>
      <c r="C30" s="1400"/>
      <c r="D30" s="77">
        <f ca="1">IFERROR(VLOOKUP(A30,Stammdaten!A$7:D$33,4,FALSE),"&lt;-- Prüfen!")</f>
        <v>0</v>
      </c>
      <c r="E30" s="72"/>
      <c r="F30" s="268" t="str">
        <f t="shared" si="0"/>
        <v/>
      </c>
      <c r="G30" s="73" t="str">
        <f ca="1">IFERROR(VLOOKUP(A30,Stammdaten!A$7:F$33,4,FALSE)*F30,"")</f>
        <v/>
      </c>
      <c r="H30" s="113" t="str">
        <f ca="1">IFERROR(VLOOKUP(A30,Stammdaten!A$7:F$33,6,FALSE)*F30,"")</f>
        <v/>
      </c>
      <c r="I30" s="1128"/>
      <c r="J30" s="1484" t="str">
        <f t="shared" si="1"/>
        <v/>
      </c>
      <c r="K30" s="1484"/>
      <c r="L30" s="914"/>
    </row>
    <row r="31" spans="1:12" ht="17.850000000000001" customHeight="1" thickBot="1" x14ac:dyDescent="0.5">
      <c r="A31" s="1406"/>
      <c r="B31" s="1407"/>
      <c r="C31" s="1408"/>
      <c r="D31" s="90">
        <f ca="1">IFERROR(VLOOKUP(A31,Stammdaten!A$7:D$33,4,FALSE),"&lt;-- Prüfen!")</f>
        <v>0</v>
      </c>
      <c r="E31" s="74"/>
      <c r="F31" s="274" t="str">
        <f t="shared" si="0"/>
        <v/>
      </c>
      <c r="G31" s="90" t="str">
        <f ca="1">IFERROR(VLOOKUP(A31,Stammdaten!A$7:F$33,4,FALSE)*F31,"")</f>
        <v/>
      </c>
      <c r="H31" s="90" t="str">
        <f ca="1">IFERROR(VLOOKUP(A31,Stammdaten!A$7:F$33,6,FALSE)*F31,"")</f>
        <v/>
      </c>
      <c r="I31" s="1128"/>
      <c r="J31" s="1484" t="str">
        <f t="shared" si="1"/>
        <v/>
      </c>
      <c r="K31" s="1484"/>
      <c r="L31" s="914"/>
    </row>
    <row r="32" spans="1:12" ht="17.850000000000001" customHeight="1" x14ac:dyDescent="0.45">
      <c r="A32" s="1330" t="s">
        <v>113</v>
      </c>
      <c r="B32" s="1428"/>
      <c r="C32" s="1428"/>
      <c r="D32" s="1331"/>
      <c r="E32" s="75">
        <f>SUM(E23:E31)</f>
        <v>2</v>
      </c>
      <c r="F32" s="292">
        <f ca="1">IF(AND(_Test=9,SUM(Stammdaten!B7:B10)&lt;&gt;50),"FEHLER!",SUM(F23:F31))</f>
        <v>1</v>
      </c>
      <c r="G32" s="293">
        <f ca="1">IF(AND(_OK?="OK!",_OK_KV?="OK_KV!"),SUM(G23:G31),ROUND(SUM(G23:G31)*1.05,0))</f>
        <v>16</v>
      </c>
      <c r="H32" s="318">
        <f ca="1">SUM(H23:H31)</f>
        <v>1.93</v>
      </c>
      <c r="I32" s="1129" t="str">
        <f ca="1">IF(OR(_OK?&lt;&gt;"OK!",_OK_KV?&lt;&gt;"OK_KV!"),"X","")</f>
        <v>X</v>
      </c>
      <c r="J32" s="1767" t="str">
        <f ca="1">IF(OR(_OK?&lt;&gt;"OK!",_OK_KV?&lt;&gt;"OK_KV!"),"Sie verwenden keine gültige Lizenzierung. Manche Rechenergebnisse sind deswegen aufgerundet angegeben (!!); rote Schrift. 
Sie können das Kalkulationstool trotzdem mit allen Funktionen testen.","")</f>
        <v>Sie verwenden keine gültige Lizenzierung. Manche Rechenergebnisse sind deswegen aufgerundet angegeben (!!); rote Schrift. 
Sie können das Kalkulationstool trotzdem mit allen Funktionen testen.</v>
      </c>
      <c r="K32" s="1767"/>
      <c r="L32" s="1773"/>
    </row>
    <row r="33" spans="1:12" ht="17.850000000000001" customHeight="1" x14ac:dyDescent="0.45">
      <c r="A33" s="1783"/>
      <c r="B33" s="1784"/>
      <c r="C33" s="1784"/>
      <c r="D33" s="1784"/>
      <c r="E33" s="1784"/>
      <c r="F33" s="1784"/>
      <c r="G33" s="1784"/>
      <c r="H33" s="1784"/>
      <c r="I33" s="1127"/>
      <c r="J33" s="1767"/>
      <c r="K33" s="1767"/>
      <c r="L33" s="1773"/>
    </row>
    <row r="34" spans="1:12" ht="34.9" customHeight="1" thickBot="1" x14ac:dyDescent="0.5">
      <c r="A34" s="1790" t="s">
        <v>204</v>
      </c>
      <c r="B34" s="1791"/>
      <c r="C34" s="1791"/>
      <c r="D34" s="1792"/>
      <c r="E34" s="116" t="s">
        <v>23</v>
      </c>
      <c r="F34" s="264" t="s">
        <v>188</v>
      </c>
      <c r="G34" s="264" t="s">
        <v>167</v>
      </c>
      <c r="H34" s="317" t="s">
        <v>168</v>
      </c>
      <c r="I34" s="1127"/>
      <c r="J34" s="1767"/>
      <c r="K34" s="1767"/>
      <c r="L34" s="1773"/>
    </row>
    <row r="35" spans="1:12" ht="17.850000000000001" customHeight="1" x14ac:dyDescent="0.45">
      <c r="A35" s="1817" t="s">
        <v>699</v>
      </c>
      <c r="B35" s="1696"/>
      <c r="C35" s="1818"/>
      <c r="D35" s="77">
        <f ca="1">IFERROR(VLOOKUP(A35,Stammdaten!A$7:D$33,4,FALSE),"&lt;-- Prüfen!")</f>
        <v>16.36</v>
      </c>
      <c r="E35" s="263">
        <v>0.1</v>
      </c>
      <c r="F35" s="83">
        <f>IFERROR(IF(A35&lt;&gt;"",E35/E$37,""),"")</f>
        <v>1</v>
      </c>
      <c r="G35" s="77">
        <f ca="1">IFERROR(VLOOKUP(A35,Stammdaten!A$7:F$33,4,FALSE)*F35,"")</f>
        <v>16.36</v>
      </c>
      <c r="H35" s="159">
        <f ca="1">IFERROR(VLOOKUP(A35,Stammdaten!A$7:F$33,6,FALSE)*F35,"")</f>
        <v>2.4500000000000002</v>
      </c>
      <c r="I35" s="1128"/>
      <c r="J35" s="1484" t="str">
        <f>IF(AND(ISBLANK(A35),E35&gt;0),"Auswahl fehlt oder Anzahl löschen!","")</f>
        <v/>
      </c>
      <c r="K35" s="1484"/>
      <c r="L35" s="914"/>
    </row>
    <row r="36" spans="1:12" ht="17.850000000000001" customHeight="1" thickBot="1" x14ac:dyDescent="0.5">
      <c r="A36" s="1806"/>
      <c r="B36" s="1807"/>
      <c r="C36" s="1808"/>
      <c r="D36" s="393">
        <f ca="1">IFERROR(VLOOKUP(A36,Stammdaten!A$7:D$33,4,FALSE),"&lt;-- Prüfen!")</f>
        <v>0</v>
      </c>
      <c r="E36" s="394"/>
      <c r="F36" s="274" t="str">
        <f>IFERROR(IF(A36&lt;&gt;"",E36/E$37,""),"")</f>
        <v/>
      </c>
      <c r="G36" s="393" t="str">
        <f ca="1">IFERROR(VLOOKUP(A36,Stammdaten!A$7:F$33,4,FALSE)*F36,"")</f>
        <v/>
      </c>
      <c r="H36" s="448" t="str">
        <f ca="1">IFERROR(VLOOKUP(A36,Stammdaten!A$7:F$33,6,FALSE)*F36,"")</f>
        <v/>
      </c>
      <c r="I36" s="1128"/>
      <c r="J36" s="1774" t="str">
        <f>IF(AND(ISBLANK(A36),E36&gt;0),"Auswahl fehlt oder Anzahl löschen!","")</f>
        <v/>
      </c>
      <c r="K36" s="1774"/>
      <c r="L36" s="914"/>
    </row>
    <row r="37" spans="1:12" ht="17.850000000000001" customHeight="1" thickTop="1" x14ac:dyDescent="0.45">
      <c r="A37" s="1330" t="s">
        <v>113</v>
      </c>
      <c r="B37" s="1428"/>
      <c r="C37" s="1428"/>
      <c r="D37" s="1331"/>
      <c r="E37" s="338">
        <f>SUM(E35:E36)</f>
        <v>0.1</v>
      </c>
      <c r="F37" s="292">
        <f>SUM(F35:F36)</f>
        <v>1</v>
      </c>
      <c r="G37" s="293">
        <f ca="1">SUM(G35:G36)</f>
        <v>16.36</v>
      </c>
      <c r="H37" s="318">
        <f ca="1">SUM(H35:H36)</f>
        <v>2.4500000000000002</v>
      </c>
      <c r="I37" s="1127"/>
      <c r="J37" s="67"/>
      <c r="K37" s="67"/>
      <c r="L37" s="914"/>
    </row>
    <row r="38" spans="1:12" ht="17.850000000000001" customHeight="1" x14ac:dyDescent="0.45">
      <c r="A38" s="1347" t="s">
        <v>555</v>
      </c>
      <c r="B38" s="1348"/>
      <c r="C38" s="1348"/>
      <c r="D38" s="1348"/>
      <c r="E38" s="1348"/>
      <c r="F38" s="1348"/>
      <c r="G38" s="1348"/>
      <c r="H38" s="172">
        <v>0</v>
      </c>
      <c r="I38" s="1128"/>
      <c r="J38" s="1484" t="str">
        <f ca="1">IF(AND(ISBLANK(H38),G37&gt;0),"Kennzeichen eingeben!","")</f>
        <v/>
      </c>
      <c r="K38" s="1484"/>
      <c r="L38" s="914"/>
    </row>
    <row r="39" spans="1:12" ht="17.850000000000001" customHeight="1" x14ac:dyDescent="0.45">
      <c r="A39" s="972" t="s">
        <v>494</v>
      </c>
      <c r="B39" s="561"/>
      <c r="C39" s="561"/>
      <c r="D39" s="561"/>
      <c r="E39" s="562" t="s">
        <v>93</v>
      </c>
      <c r="F39" s="167">
        <f>IF(H38=1,E32,E32-E37)</f>
        <v>1.9</v>
      </c>
      <c r="G39" s="562" t="s">
        <v>94</v>
      </c>
      <c r="H39" s="319">
        <f>E37</f>
        <v>0.1</v>
      </c>
      <c r="I39" s="1127"/>
      <c r="J39" s="67"/>
      <c r="K39" s="67"/>
      <c r="L39" s="914"/>
    </row>
    <row r="40" spans="1:12" ht="17.850000000000001" customHeight="1" x14ac:dyDescent="0.45">
      <c r="A40" s="1809" t="str">
        <f>IF(H38=0,"Bei KZ = 0: Bitte prüfen, ob die Beschäftigungsgruppe auch beim produktiven Personal (siehe A1) vorkommt!","")</f>
        <v>Bei KZ = 0: Bitte prüfen, ob die Beschäftigungsgruppe auch beim produktiven Personal (siehe A1) vorkommt!</v>
      </c>
      <c r="B40" s="1810"/>
      <c r="C40" s="1810"/>
      <c r="D40" s="1810"/>
      <c r="E40" s="1810"/>
      <c r="F40" s="1810"/>
      <c r="G40" s="1810"/>
      <c r="H40" s="1810"/>
      <c r="I40" s="1127"/>
      <c r="J40" s="67"/>
      <c r="K40" s="67"/>
      <c r="L40" s="914"/>
    </row>
    <row r="41" spans="1:12" ht="17.850000000000001" customHeight="1" x14ac:dyDescent="0.45">
      <c r="A41" s="1793" t="s">
        <v>543</v>
      </c>
      <c r="B41" s="1794"/>
      <c r="C41" s="1794"/>
      <c r="D41" s="1794"/>
      <c r="E41" s="1380" t="s">
        <v>457</v>
      </c>
      <c r="F41" s="1380" t="s">
        <v>559</v>
      </c>
      <c r="G41" s="1798" t="s">
        <v>560</v>
      </c>
      <c r="H41" s="1632" t="s">
        <v>561</v>
      </c>
      <c r="I41" s="1127"/>
      <c r="J41" s="67"/>
      <c r="K41" s="67"/>
      <c r="L41" s="914"/>
    </row>
    <row r="42" spans="1:12" ht="17.850000000000001" customHeight="1" x14ac:dyDescent="0.45">
      <c r="A42" s="1795"/>
      <c r="B42" s="1796"/>
      <c r="C42" s="1796"/>
      <c r="D42" s="1796"/>
      <c r="E42" s="1381"/>
      <c r="F42" s="1381"/>
      <c r="G42" s="1799"/>
      <c r="H42" s="1797"/>
      <c r="I42" s="1127"/>
      <c r="J42" s="67"/>
      <c r="K42" s="67"/>
      <c r="L42" s="914"/>
    </row>
    <row r="43" spans="1:12" ht="17.850000000000001" customHeight="1" x14ac:dyDescent="0.45">
      <c r="A43" s="1398"/>
      <c r="B43" s="1399"/>
      <c r="C43" s="1399"/>
      <c r="D43" s="1400"/>
      <c r="E43" s="166">
        <f>F39</f>
        <v>1.9</v>
      </c>
      <c r="F43" s="1183"/>
      <c r="G43" s="669">
        <f>F43/(1-F43)</f>
        <v>0</v>
      </c>
      <c r="H43" s="168">
        <f>E43*F43</f>
        <v>0</v>
      </c>
      <c r="I43" s="1127"/>
      <c r="J43" s="67"/>
      <c r="K43" s="67"/>
      <c r="L43" s="914"/>
    </row>
    <row r="44" spans="1:12" ht="17.850000000000001" customHeight="1" x14ac:dyDescent="0.45">
      <c r="A44" s="1804"/>
      <c r="B44" s="1805"/>
      <c r="C44" s="1805"/>
      <c r="D44" s="1805"/>
      <c r="E44" s="1805"/>
      <c r="F44" s="1805"/>
      <c r="G44" s="1805"/>
      <c r="H44" s="1805"/>
      <c r="I44" s="1127"/>
      <c r="J44" s="67"/>
      <c r="K44" s="67"/>
      <c r="L44" s="914"/>
    </row>
    <row r="45" spans="1:12" ht="17.850000000000001" customHeight="1" x14ac:dyDescent="0.45">
      <c r="A45" s="1801" t="str">
        <f>"Unproduktiv nach 'Köpfen' gesamt: "&amp;ROUND(H45/F45*100,2)&amp;"%"</f>
        <v>Unproduktiv nach 'Köpfen' gesamt: 5,26%</v>
      </c>
      <c r="B45" s="1802"/>
      <c r="C45" s="1802"/>
      <c r="D45" s="1803"/>
      <c r="E45" s="563" t="s">
        <v>93</v>
      </c>
      <c r="F45" s="550">
        <f>F39-H43</f>
        <v>1.9</v>
      </c>
      <c r="G45" s="563" t="s">
        <v>94</v>
      </c>
      <c r="H45" s="551">
        <f>H39+H43</f>
        <v>0.1</v>
      </c>
      <c r="I45" s="1127"/>
      <c r="J45" s="67"/>
      <c r="K45" s="67"/>
      <c r="L45" s="914"/>
    </row>
    <row r="46" spans="1:12" ht="17.850000000000001" customHeight="1" x14ac:dyDescent="0.45">
      <c r="A46" s="66"/>
      <c r="B46" s="67"/>
      <c r="C46" s="67"/>
      <c r="D46" s="67"/>
      <c r="E46" s="67"/>
      <c r="F46" s="67"/>
      <c r="G46" s="67"/>
      <c r="H46" s="67"/>
      <c r="I46" s="1127"/>
      <c r="J46" s="67"/>
      <c r="K46" s="67"/>
      <c r="L46" s="914"/>
    </row>
    <row r="47" spans="1:12" ht="17.850000000000001" customHeight="1" thickBot="1" x14ac:dyDescent="0.5">
      <c r="A47" s="1396" t="s">
        <v>206</v>
      </c>
      <c r="B47" s="1397"/>
      <c r="C47" s="1397"/>
      <c r="D47" s="1397"/>
      <c r="E47" s="1397"/>
      <c r="F47" s="1640"/>
      <c r="G47" s="1640"/>
      <c r="H47" s="1640"/>
      <c r="I47" s="1127"/>
      <c r="J47" s="67"/>
      <c r="K47" s="67"/>
      <c r="L47" s="914"/>
    </row>
    <row r="48" spans="1:12" ht="17.850000000000001" customHeight="1" x14ac:dyDescent="0.45">
      <c r="A48" s="671"/>
      <c r="B48" s="672"/>
      <c r="C48" s="673" t="s">
        <v>23</v>
      </c>
      <c r="D48" s="673" t="s">
        <v>563</v>
      </c>
      <c r="E48" s="674" t="s">
        <v>564</v>
      </c>
      <c r="F48" s="1811" t="s">
        <v>207</v>
      </c>
      <c r="G48" s="1813" t="s">
        <v>562</v>
      </c>
      <c r="H48" s="1815" t="s">
        <v>190</v>
      </c>
      <c r="I48" s="1127"/>
      <c r="J48" s="67"/>
      <c r="K48" s="67"/>
      <c r="L48" s="914"/>
    </row>
    <row r="49" spans="1:13" ht="17.850000000000001" customHeight="1" thickBot="1" x14ac:dyDescent="0.5">
      <c r="A49" s="720" t="s">
        <v>457</v>
      </c>
      <c r="B49" s="721"/>
      <c r="C49" s="722">
        <f>F45</f>
        <v>1.9</v>
      </c>
      <c r="D49" s="723">
        <f ca="1">C49*G32</f>
        <v>30.4</v>
      </c>
      <c r="E49" s="724">
        <f ca="1">C49*H32</f>
        <v>3.67</v>
      </c>
      <c r="F49" s="1812"/>
      <c r="G49" s="1814"/>
      <c r="H49" s="1816"/>
      <c r="I49" s="1127"/>
      <c r="J49" s="67"/>
      <c r="K49" s="67"/>
      <c r="L49" s="914"/>
      <c r="M49" s="915"/>
    </row>
    <row r="50" spans="1:13" ht="17.850000000000001" customHeight="1" x14ac:dyDescent="0.45">
      <c r="A50" s="720" t="s">
        <v>236</v>
      </c>
      <c r="B50" s="721"/>
      <c r="C50" s="722">
        <f>H43</f>
        <v>0</v>
      </c>
      <c r="D50" s="723">
        <f ca="1">C50*G32</f>
        <v>0</v>
      </c>
      <c r="E50" s="724">
        <f ca="1">C50*H32</f>
        <v>0</v>
      </c>
      <c r="F50" s="714" t="s">
        <v>71</v>
      </c>
      <c r="G50" s="715">
        <f ca="1">D49</f>
        <v>30.4</v>
      </c>
      <c r="H50" s="716">
        <f ca="1">D52</f>
        <v>32.04</v>
      </c>
      <c r="I50" s="1127"/>
      <c r="J50" s="67"/>
      <c r="K50" s="67"/>
      <c r="L50" s="914"/>
      <c r="M50" s="915"/>
    </row>
    <row r="51" spans="1:13" ht="17.850000000000001" customHeight="1" thickBot="1" x14ac:dyDescent="0.5">
      <c r="A51" s="725" t="s">
        <v>205</v>
      </c>
      <c r="B51" s="726"/>
      <c r="C51" s="727">
        <f>H39</f>
        <v>0.1</v>
      </c>
      <c r="D51" s="728">
        <f ca="1">C51*G37</f>
        <v>1.64</v>
      </c>
      <c r="E51" s="729">
        <f ca="1">C51*H37</f>
        <v>0.25</v>
      </c>
      <c r="F51" s="717" t="s">
        <v>91</v>
      </c>
      <c r="G51" s="718">
        <f ca="1">D51+D50</f>
        <v>1.64</v>
      </c>
      <c r="H51" s="719">
        <f ca="1">E52</f>
        <v>3.92</v>
      </c>
      <c r="I51" s="1127"/>
      <c r="J51" s="67"/>
      <c r="K51" s="67"/>
      <c r="L51" s="532" t="str">
        <f ca="1">IFERROR(IF(ABS(H53)/H52&gt;0.1,"Individuelle Anpassung bei A4) AKV-Entgelt auffällig hoch. ",""),"")</f>
        <v/>
      </c>
      <c r="M51" s="915"/>
    </row>
    <row r="52" spans="1:13" ht="17.850000000000001" customHeight="1" thickBot="1" x14ac:dyDescent="0.5">
      <c r="A52" s="1785" t="s">
        <v>68</v>
      </c>
      <c r="B52" s="1786"/>
      <c r="C52" s="730">
        <f>SUM(C49:C51)</f>
        <v>2</v>
      </c>
      <c r="D52" s="731">
        <f ca="1">SUM(D49:D51)</f>
        <v>32.04</v>
      </c>
      <c r="E52" s="732">
        <f ca="1">SUM(E49:E51)</f>
        <v>3.92</v>
      </c>
      <c r="F52" s="670" t="s">
        <v>191</v>
      </c>
      <c r="G52" s="733">
        <f ca="1">G51/G50</f>
        <v>5.3900000000000003E-2</v>
      </c>
      <c r="H52" s="1028">
        <f ca="1">H51/H50</f>
        <v>0.12230000000000001</v>
      </c>
      <c r="I52" s="1127"/>
      <c r="J52" s="67"/>
      <c r="K52" s="67"/>
      <c r="L52" s="532" t="str">
        <f ca="1">IFERROR(IF(ABS(G53)/G52&gt;0.1,"Individuelle Anpassung bei A4) unproduktive Zeiten auffällig hoch. ",""),"")</f>
        <v/>
      </c>
      <c r="M52" s="915"/>
    </row>
    <row r="53" spans="1:13" ht="17.850000000000001" customHeight="1" thickBot="1" x14ac:dyDescent="0.5">
      <c r="A53" s="969"/>
      <c r="B53" s="970"/>
      <c r="C53" s="1787" t="s">
        <v>225</v>
      </c>
      <c r="D53" s="1788"/>
      <c r="E53" s="1788"/>
      <c r="F53" s="1789"/>
      <c r="G53" s="1184">
        <v>0</v>
      </c>
      <c r="H53" s="1185">
        <v>0</v>
      </c>
      <c r="I53" s="1130" t="str">
        <f>IF(OR(G53&lt;&gt;0,H53&lt;&gt;0),"X","")</f>
        <v/>
      </c>
      <c r="J53" s="67"/>
      <c r="K53" s="67"/>
      <c r="L53" s="914"/>
      <c r="M53" s="915"/>
    </row>
    <row r="54" spans="1:13" ht="17.850000000000001" customHeight="1" x14ac:dyDescent="0.45">
      <c r="A54" s="1819" t="str">
        <f ca="1">"A) Unproduktive Zeiten (K3 Zeile 4: € "&amp;TEXT(' K3 PP'!O22,"0,00")&amp;") in %:"</f>
        <v>A) Unproduktive Zeiten (K3 Zeile 4: € 1,00) in %:</v>
      </c>
      <c r="B54" s="1820"/>
      <c r="C54" s="1820"/>
      <c r="D54" s="1820"/>
      <c r="E54" s="1820"/>
      <c r="F54" s="1820"/>
      <c r="G54" s="408">
        <f ca="1">G52+G53</f>
        <v>5.3900000000000003E-2</v>
      </c>
      <c r="H54" s="1029"/>
      <c r="I54" s="1123"/>
      <c r="J54" s="67"/>
      <c r="K54" s="67"/>
      <c r="L54" s="533" t="str">
        <f ca="1">IFERROR(IF(G54&gt;0.15,"Umlage UNPRODUKTIVE ZEITEN erscheinen mit "&amp;G54*100&amp;"% recht hoch! ",""),"")</f>
        <v/>
      </c>
      <c r="M54" s="911" t="s">
        <v>22</v>
      </c>
    </row>
    <row r="55" spans="1:13" ht="17.850000000000001" customHeight="1" x14ac:dyDescent="0.45">
      <c r="A55" s="1396" t="str">
        <f ca="1">"A) Außerkollektivvertragliches Entgelt (K3 Zeile 6: € "&amp;TEXT(' K3 PP'!O24,"0,00")&amp;") in %:"</f>
        <v>A) Außerkollektivvertragliches Entgelt (K3 Zeile 6: € 2,08) in %:</v>
      </c>
      <c r="B55" s="1397"/>
      <c r="C55" s="1397"/>
      <c r="D55" s="1397"/>
      <c r="E55" s="1397"/>
      <c r="F55" s="1397"/>
      <c r="G55" s="1397"/>
      <c r="H55" s="1026">
        <f ca="1">H52+H53</f>
        <v>0.12230000000000001</v>
      </c>
      <c r="I55" s="1123"/>
      <c r="J55" s="67"/>
      <c r="K55" s="67"/>
      <c r="L55" s="533" t="str">
        <f ca="1">IFERROR(IF(H55&gt;0.2,"Höhe des AKV-Entelts mit "&amp;H55*100&amp;"% kann zu Nachfragen führen! ",""),"")</f>
        <v/>
      </c>
    </row>
    <row r="56" spans="1:13" ht="17.850000000000001" customHeight="1" x14ac:dyDescent="0.45">
      <c r="A56" s="1060" t="s">
        <v>312</v>
      </c>
      <c r="B56" s="1061">
        <f ca="1">' K3 PP'!$O$23</f>
        <v>17</v>
      </c>
      <c r="C56" s="1060" t="s">
        <v>313</v>
      </c>
      <c r="D56" s="1061">
        <f ca="1">' K3 PP'!$O$33</f>
        <v>43</v>
      </c>
      <c r="E56" s="1062" t="s">
        <v>314</v>
      </c>
      <c r="F56" s="1061">
        <f ca="1">' K3 PP'!$O$44</f>
        <v>64</v>
      </c>
      <c r="G56" s="1060" t="s">
        <v>315</v>
      </c>
      <c r="H56" s="1063">
        <f ca="1">' K3 PP'!$Q$45</f>
        <v>64</v>
      </c>
      <c r="I56" s="1127"/>
      <c r="J56" s="67"/>
      <c r="K56" s="67"/>
      <c r="L56" s="914"/>
    </row>
    <row r="57" spans="1:13" ht="17.850000000000001" customHeight="1" x14ac:dyDescent="0.45">
      <c r="A57" s="1502"/>
      <c r="B57" s="1503"/>
      <c r="C57" s="1503"/>
      <c r="D57" s="1503"/>
      <c r="E57" s="1503"/>
      <c r="F57" s="1503"/>
      <c r="G57" s="1503"/>
      <c r="H57" s="1503"/>
      <c r="I57" s="1127"/>
      <c r="J57" s="67"/>
      <c r="K57" s="67"/>
      <c r="L57" s="914"/>
    </row>
    <row r="58" spans="1:13" ht="17.850000000000001" customHeight="1" x14ac:dyDescent="0.45">
      <c r="A58" s="1598" t="s">
        <v>458</v>
      </c>
      <c r="B58" s="1634"/>
      <c r="C58" s="1634"/>
      <c r="D58" s="1634"/>
      <c r="E58" s="1634"/>
      <c r="F58" s="1634"/>
      <c r="G58" s="1634"/>
      <c r="H58" s="1634"/>
      <c r="I58" s="1127"/>
      <c r="J58" s="67"/>
      <c r="K58" s="67"/>
      <c r="L58" s="914"/>
    </row>
    <row r="59" spans="1:13" ht="17.850000000000001" customHeight="1" x14ac:dyDescent="0.45">
      <c r="A59" s="1589" t="s">
        <v>495</v>
      </c>
      <c r="B59" s="1590"/>
      <c r="C59" s="1571" t="s">
        <v>636</v>
      </c>
      <c r="D59" s="1571" t="s">
        <v>637</v>
      </c>
      <c r="E59" s="1779" t="s">
        <v>496</v>
      </c>
      <c r="F59" s="1800"/>
      <c r="G59" s="1779" t="s">
        <v>497</v>
      </c>
      <c r="H59" s="1780"/>
      <c r="I59" s="1127"/>
      <c r="J59" s="67"/>
      <c r="K59" s="67"/>
      <c r="L59" s="914"/>
    </row>
    <row r="60" spans="1:13" ht="17.850000000000001" customHeight="1" x14ac:dyDescent="0.45">
      <c r="A60" s="1591"/>
      <c r="B60" s="1592"/>
      <c r="C60" s="1572"/>
      <c r="D60" s="1572"/>
      <c r="E60" s="1380" t="s">
        <v>498</v>
      </c>
      <c r="F60" s="1382" t="s">
        <v>556</v>
      </c>
      <c r="G60" s="1380" t="s">
        <v>499</v>
      </c>
      <c r="H60" s="1382" t="s">
        <v>556</v>
      </c>
      <c r="I60" s="1127"/>
      <c r="J60" s="67"/>
      <c r="K60" s="67"/>
      <c r="L60" s="914"/>
    </row>
    <row r="61" spans="1:13" ht="17.850000000000001" customHeight="1" x14ac:dyDescent="0.45">
      <c r="A61" s="1591"/>
      <c r="B61" s="1592"/>
      <c r="C61" s="1581"/>
      <c r="D61" s="1581"/>
      <c r="E61" s="1381"/>
      <c r="F61" s="1666"/>
      <c r="G61" s="1381"/>
      <c r="H61" s="1666"/>
      <c r="I61" s="1127"/>
      <c r="J61" s="67"/>
      <c r="K61" s="67"/>
      <c r="L61" s="914"/>
    </row>
    <row r="62" spans="1:13" ht="17.850000000000001" customHeight="1" thickBot="1" x14ac:dyDescent="0.5">
      <c r="A62" s="1719"/>
      <c r="B62" s="1720"/>
      <c r="C62" s="269" t="s">
        <v>10</v>
      </c>
      <c r="D62" s="269" t="s">
        <v>11</v>
      </c>
      <c r="E62" s="269" t="s">
        <v>257</v>
      </c>
      <c r="F62" s="269" t="s">
        <v>12</v>
      </c>
      <c r="G62" s="269" t="s">
        <v>13</v>
      </c>
      <c r="H62" s="321" t="s">
        <v>14</v>
      </c>
      <c r="I62" s="1127"/>
      <c r="J62" s="96"/>
      <c r="K62" s="96"/>
      <c r="L62" s="914"/>
    </row>
    <row r="63" spans="1:13" ht="29.45" customHeight="1" x14ac:dyDescent="0.45">
      <c r="A63" s="1823"/>
      <c r="B63" s="1824"/>
      <c r="C63" s="1186"/>
      <c r="D63" s="1186"/>
      <c r="E63" s="265">
        <f ca="1">IFERROR(VLOOKUP(A63,Stammdaten!$A$68:$C$94,3,FALSE),"&lt;-- prüfen!")</f>
        <v>0</v>
      </c>
      <c r="F63" s="266">
        <f ca="1">IFERROR(C63*D63*E63,"")</f>
        <v>0</v>
      </c>
      <c r="G63" s="267">
        <f ca="1">IFERROR(VLOOKUP(A63,Stammdaten!$A$68:$C$94,2,FALSE),"&lt;-- prüfen!")</f>
        <v>0</v>
      </c>
      <c r="H63" s="322">
        <f t="shared" ref="H63:H69" ca="1" si="2">IFERROR(C63*D63*G63,"")</f>
        <v>0</v>
      </c>
      <c r="I63" s="1127"/>
      <c r="J63" s="1772" t="str">
        <f>IF(AND(C63&gt;0,A63=""),"Zulage auswählen oder Anteil = 0 oder löschen!","")</f>
        <v/>
      </c>
      <c r="K63" s="1772"/>
      <c r="L63" s="935" t="str">
        <f>(IF(AND(C63&gt;0,D63&lt;=0),"Spalten A und B ausfüllen",IF(AND(D63&gt;0,C63&lt;=0),"Spalten A und B ausfüllen","")))</f>
        <v/>
      </c>
    </row>
    <row r="64" spans="1:13" ht="29.45" customHeight="1" x14ac:dyDescent="0.45">
      <c r="A64" s="1584"/>
      <c r="B64" s="1585"/>
      <c r="C64" s="1187"/>
      <c r="D64" s="1187"/>
      <c r="E64" s="265">
        <f ca="1">IFERROR(VLOOKUP(A64,Stammdaten!$A$68:$C$94,3,FALSE),"&lt;-- prüfen!")</f>
        <v>0</v>
      </c>
      <c r="F64" s="81">
        <f t="shared" ref="F64:F69" ca="1" si="3">IFERROR(C64*D64*E64,"")</f>
        <v>0</v>
      </c>
      <c r="G64" s="267">
        <f ca="1">IFERROR(VLOOKUP(A64,Stammdaten!$A$68:$C$94,2,FALSE),"&lt;-- prüfen!")</f>
        <v>0</v>
      </c>
      <c r="H64" s="161">
        <f t="shared" ca="1" si="2"/>
        <v>0</v>
      </c>
      <c r="I64" s="1127"/>
      <c r="J64" s="1772" t="str">
        <f t="shared" ref="J64:J69" si="4">IF(AND(C64&gt;0,A64=""),"Zulage auswählen oder Anteil = 0 oder löschen!","")</f>
        <v/>
      </c>
      <c r="K64" s="1772"/>
      <c r="L64" s="935" t="str">
        <f t="shared" ref="L64:L69" si="5">(IF(AND(C64&gt;0,D64&lt;=0),"Spalten A und B ausfüllen",IF(AND(D64&gt;0,C64&lt;=0),"Spalten A und B ausfüllen","")))</f>
        <v/>
      </c>
    </row>
    <row r="65" spans="1:12" ht="29.45" customHeight="1" x14ac:dyDescent="0.45">
      <c r="A65" s="1584"/>
      <c r="B65" s="1585"/>
      <c r="C65" s="1187"/>
      <c r="D65" s="1187"/>
      <c r="E65" s="265">
        <f ca="1">IFERROR(VLOOKUP(A65,Stammdaten!$A$68:$C$94,3,FALSE),"&lt;-- prüfen!")</f>
        <v>0</v>
      </c>
      <c r="F65" s="81">
        <f t="shared" ca="1" si="3"/>
        <v>0</v>
      </c>
      <c r="G65" s="267">
        <f ca="1">IFERROR(VLOOKUP(A65,Stammdaten!$A$68:$C$94,2,FALSE),"&lt;-- prüfen!")</f>
        <v>0</v>
      </c>
      <c r="H65" s="161">
        <f t="shared" ca="1" si="2"/>
        <v>0</v>
      </c>
      <c r="I65" s="1127"/>
      <c r="J65" s="1772" t="str">
        <f t="shared" si="4"/>
        <v/>
      </c>
      <c r="K65" s="1772"/>
      <c r="L65" s="935" t="str">
        <f t="shared" si="5"/>
        <v/>
      </c>
    </row>
    <row r="66" spans="1:12" ht="29.45" customHeight="1" x14ac:dyDescent="0.45">
      <c r="A66" s="1584"/>
      <c r="B66" s="1585"/>
      <c r="C66" s="1187"/>
      <c r="D66" s="1187"/>
      <c r="E66" s="265">
        <f ca="1">IFERROR(VLOOKUP(A66,Stammdaten!$A$68:$C$94,3,FALSE),"&lt;-- prüfen!")</f>
        <v>0</v>
      </c>
      <c r="F66" s="81">
        <f t="shared" ca="1" si="3"/>
        <v>0</v>
      </c>
      <c r="G66" s="267">
        <f ca="1">IFERROR(VLOOKUP(A66,Stammdaten!$A$68:$C$94,2,FALSE),"&lt;-- prüfen!")</f>
        <v>0</v>
      </c>
      <c r="H66" s="161">
        <f t="shared" ca="1" si="2"/>
        <v>0</v>
      </c>
      <c r="I66" s="1127"/>
      <c r="J66" s="1772" t="str">
        <f t="shared" si="4"/>
        <v/>
      </c>
      <c r="K66" s="1772"/>
      <c r="L66" s="935" t="str">
        <f t="shared" si="5"/>
        <v/>
      </c>
    </row>
    <row r="67" spans="1:12" ht="29.45" customHeight="1" x14ac:dyDescent="0.45">
      <c r="A67" s="1584"/>
      <c r="B67" s="1585"/>
      <c r="C67" s="1187"/>
      <c r="D67" s="1187"/>
      <c r="E67" s="265">
        <f ca="1">IFERROR(VLOOKUP(A67,Stammdaten!$A$68:$C$94,3,FALSE),"&lt;-- prüfen!")</f>
        <v>0</v>
      </c>
      <c r="F67" s="81">
        <f t="shared" ca="1" si="3"/>
        <v>0</v>
      </c>
      <c r="G67" s="267">
        <f ca="1">IFERROR(VLOOKUP(A67,Stammdaten!$A$68:$C$94,2,FALSE),"&lt;-- prüfen!")</f>
        <v>0</v>
      </c>
      <c r="H67" s="161">
        <f t="shared" ca="1" si="2"/>
        <v>0</v>
      </c>
      <c r="I67" s="1127"/>
      <c r="J67" s="1772" t="str">
        <f t="shared" si="4"/>
        <v/>
      </c>
      <c r="K67" s="1772"/>
      <c r="L67" s="935" t="str">
        <f t="shared" si="5"/>
        <v/>
      </c>
    </row>
    <row r="68" spans="1:12" ht="29.45" customHeight="1" x14ac:dyDescent="0.45">
      <c r="A68" s="1584"/>
      <c r="B68" s="1585"/>
      <c r="C68" s="1187"/>
      <c r="D68" s="1187"/>
      <c r="E68" s="265">
        <f ca="1">IFERROR(VLOOKUP(A68,Stammdaten!$A$68:$C$94,3,FALSE),"&lt;-- prüfen!")</f>
        <v>0</v>
      </c>
      <c r="F68" s="81">
        <f t="shared" ca="1" si="3"/>
        <v>0</v>
      </c>
      <c r="G68" s="267">
        <f ca="1">IFERROR(VLOOKUP(A68,Stammdaten!$A$68:$C$94,2,FALSE),"&lt;-- prüfen!")</f>
        <v>0</v>
      </c>
      <c r="H68" s="161">
        <f t="shared" ca="1" si="2"/>
        <v>0</v>
      </c>
      <c r="I68" s="1127"/>
      <c r="J68" s="1772" t="str">
        <f t="shared" si="4"/>
        <v/>
      </c>
      <c r="K68" s="1772"/>
      <c r="L68" s="935" t="str">
        <f t="shared" si="5"/>
        <v/>
      </c>
    </row>
    <row r="69" spans="1:12" ht="29.45" customHeight="1" thickBot="1" x14ac:dyDescent="0.5">
      <c r="A69" s="1776"/>
      <c r="B69" s="1777"/>
      <c r="C69" s="1188"/>
      <c r="D69" s="1188"/>
      <c r="E69" s="1034">
        <f ca="1">IFERROR(VLOOKUP(A69,Stammdaten!$A$68:$C$94,3,FALSE),"&lt;-- prüfen!")</f>
        <v>0</v>
      </c>
      <c r="F69" s="1035">
        <f t="shared" ca="1" si="3"/>
        <v>0</v>
      </c>
      <c r="G69" s="1036">
        <f ca="1">IFERROR(VLOOKUP(A69,Stammdaten!$A$68:$C$94,2,FALSE),"&lt;-- prüfen!")</f>
        <v>0</v>
      </c>
      <c r="H69" s="274">
        <f t="shared" ca="1" si="2"/>
        <v>0</v>
      </c>
      <c r="I69" s="1127"/>
      <c r="J69" s="1772" t="str">
        <f t="shared" si="4"/>
        <v/>
      </c>
      <c r="K69" s="1772"/>
      <c r="L69" s="935" t="str">
        <f t="shared" si="5"/>
        <v/>
      </c>
    </row>
    <row r="70" spans="1:12" ht="17.850000000000001" customHeight="1" x14ac:dyDescent="0.45">
      <c r="A70" s="1822" t="s">
        <v>102</v>
      </c>
      <c r="B70" s="1781"/>
      <c r="C70" s="1781"/>
      <c r="D70" s="1782"/>
      <c r="E70" s="1032"/>
      <c r="F70" s="1032"/>
      <c r="G70" s="1032"/>
      <c r="H70" s="1033">
        <f ca="1">SUM(H63:H69)</f>
        <v>0</v>
      </c>
      <c r="I70" s="1127"/>
      <c r="J70" s="96"/>
      <c r="K70" s="96"/>
      <c r="L70" s="914"/>
    </row>
    <row r="71" spans="1:12" ht="17.850000000000001" customHeight="1" thickBot="1" x14ac:dyDescent="0.5">
      <c r="A71" s="1659" t="s">
        <v>554</v>
      </c>
      <c r="B71" s="1660"/>
      <c r="C71" s="1660"/>
      <c r="D71" s="1781"/>
      <c r="E71" s="1782"/>
      <c r="F71" s="464">
        <v>1</v>
      </c>
      <c r="G71" s="734">
        <f>IF(F71=2,G$145,1)</f>
        <v>1</v>
      </c>
      <c r="H71" s="83">
        <f ca="1">G71*H70</f>
        <v>0</v>
      </c>
      <c r="I71" s="1128"/>
      <c r="J71" s="1484" t="str">
        <f>IF(ISBLANK(F71),"Kennzeichen eingeben!","")</f>
        <v/>
      </c>
      <c r="K71" s="1484"/>
      <c r="L71" s="914"/>
    </row>
    <row r="72" spans="1:12" ht="17.850000000000001" customHeight="1" x14ac:dyDescent="0.45">
      <c r="A72" s="124"/>
      <c r="B72" s="125"/>
      <c r="C72" s="125"/>
      <c r="D72" s="1662" t="s">
        <v>189</v>
      </c>
      <c r="E72" s="1778"/>
      <c r="F72" s="736">
        <f ca="1">SUM(F63:F69)</f>
        <v>0</v>
      </c>
      <c r="G72" s="1921"/>
      <c r="H72" s="1821">
        <f ca="1">F72/F73</f>
        <v>0</v>
      </c>
      <c r="I72" s="1127"/>
      <c r="J72" s="67"/>
      <c r="K72" s="67"/>
      <c r="L72" s="914"/>
    </row>
    <row r="73" spans="1:12" ht="17.850000000000001" customHeight="1" thickBot="1" x14ac:dyDescent="0.5">
      <c r="A73" s="122"/>
      <c r="B73" s="123"/>
      <c r="C73" s="123"/>
      <c r="D73" s="1659" t="s">
        <v>166</v>
      </c>
      <c r="E73" s="1660"/>
      <c r="F73" s="735">
        <f ca="1">G32</f>
        <v>16</v>
      </c>
      <c r="G73" s="1849"/>
      <c r="H73" s="1587"/>
      <c r="I73" s="1127"/>
      <c r="J73" s="67"/>
      <c r="K73" s="67"/>
      <c r="L73" s="914"/>
    </row>
    <row r="74" spans="1:12" ht="17.850000000000001" customHeight="1" thickBot="1" x14ac:dyDescent="0.5">
      <c r="A74" s="539" t="s">
        <v>310</v>
      </c>
      <c r="B74" s="129"/>
      <c r="C74" s="156"/>
      <c r="D74" s="156"/>
      <c r="E74" s="156"/>
      <c r="F74" s="156"/>
      <c r="G74" s="156"/>
      <c r="H74" s="162">
        <f ca="1">SUM(H71:H73)</f>
        <v>0</v>
      </c>
      <c r="I74" s="1127"/>
      <c r="J74" s="67"/>
      <c r="K74" s="67"/>
      <c r="L74" s="914"/>
    </row>
    <row r="75" spans="1:12" ht="17.850000000000001" customHeight="1" thickBot="1" x14ac:dyDescent="0.5">
      <c r="A75" s="1030" t="s">
        <v>609</v>
      </c>
      <c r="B75" s="129"/>
      <c r="C75" s="156"/>
      <c r="D75" s="156"/>
      <c r="E75" s="156"/>
      <c r="F75" s="156"/>
      <c r="G75" s="156"/>
      <c r="H75" s="1031"/>
      <c r="I75" s="1127"/>
      <c r="J75" s="67"/>
      <c r="K75" s="67"/>
      <c r="L75" s="914"/>
    </row>
    <row r="76" spans="1:12" ht="17.850000000000001" customHeight="1" thickBot="1" x14ac:dyDescent="0.5">
      <c r="A76" s="1393" t="s">
        <v>656</v>
      </c>
      <c r="B76" s="1394"/>
      <c r="C76" s="1394"/>
      <c r="D76" s="1394"/>
      <c r="E76" s="1394"/>
      <c r="F76" s="1395"/>
      <c r="G76" s="1037" t="s">
        <v>301</v>
      </c>
      <c r="H76" s="1031"/>
      <c r="I76" s="1127"/>
      <c r="J76" s="67"/>
      <c r="K76" s="67"/>
      <c r="L76" s="914"/>
    </row>
    <row r="77" spans="1:12" ht="17.850000000000001" customHeight="1" x14ac:dyDescent="0.45">
      <c r="A77" s="1917" t="str">
        <f>IF(G76&lt;&gt;"Ja","B2b) Zulagen für unproduktiv tätiges Personal","B2b) Individuelle Eingabe der Zulagen erst nach Auswahl von 'Nein' in der oberen Zeile möglich")</f>
        <v>B2b) Individuelle Eingabe der Zulagen erst nach Auswahl von 'Nein' in der oberen Zeile möglich</v>
      </c>
      <c r="B77" s="1918"/>
      <c r="C77" s="1572" t="str">
        <f>C59</f>
        <v>… % der Arbeit-nehmer</v>
      </c>
      <c r="D77" s="1572" t="str">
        <f>D59</f>
        <v>mit … % Anspruchs-dauer</v>
      </c>
      <c r="E77" s="1467" t="s">
        <v>496</v>
      </c>
      <c r="F77" s="1469"/>
      <c r="G77" s="1467" t="s">
        <v>497</v>
      </c>
      <c r="H77" s="1468"/>
      <c r="I77" s="1127"/>
      <c r="J77" s="67"/>
      <c r="K77" s="67"/>
      <c r="L77" s="914"/>
    </row>
    <row r="78" spans="1:12" ht="17.850000000000001" customHeight="1" x14ac:dyDescent="0.45">
      <c r="A78" s="1917"/>
      <c r="B78" s="1918"/>
      <c r="C78" s="1572"/>
      <c r="D78" s="1572"/>
      <c r="E78" s="1382" t="s">
        <v>498</v>
      </c>
      <c r="F78" s="1382" t="s">
        <v>556</v>
      </c>
      <c r="G78" s="1382" t="s">
        <v>499</v>
      </c>
      <c r="H78" s="1382" t="s">
        <v>556</v>
      </c>
      <c r="I78" s="1127"/>
      <c r="J78" s="67"/>
      <c r="K78" s="67"/>
      <c r="L78" s="914"/>
    </row>
    <row r="79" spans="1:12" ht="17.850000000000001" customHeight="1" x14ac:dyDescent="0.45">
      <c r="A79" s="1917"/>
      <c r="B79" s="1918"/>
      <c r="C79" s="1581"/>
      <c r="D79" s="1581"/>
      <c r="E79" s="1666"/>
      <c r="F79" s="1666"/>
      <c r="G79" s="1666"/>
      <c r="H79" s="1666"/>
      <c r="I79" s="1127"/>
      <c r="J79" s="67"/>
      <c r="K79" s="67"/>
      <c r="L79" s="914"/>
    </row>
    <row r="80" spans="1:12" ht="17.850000000000001" customHeight="1" thickBot="1" x14ac:dyDescent="0.5">
      <c r="A80" s="1919"/>
      <c r="B80" s="1920"/>
      <c r="C80" s="269" t="s">
        <v>10</v>
      </c>
      <c r="D80" s="269" t="s">
        <v>11</v>
      </c>
      <c r="E80" s="269" t="s">
        <v>257</v>
      </c>
      <c r="F80" s="269" t="s">
        <v>12</v>
      </c>
      <c r="G80" s="269" t="s">
        <v>13</v>
      </c>
      <c r="H80" s="321" t="s">
        <v>14</v>
      </c>
      <c r="I80" s="1127"/>
      <c r="J80" s="67"/>
      <c r="K80" s="67"/>
      <c r="L80" s="914"/>
    </row>
    <row r="81" spans="1:12" ht="29.45" customHeight="1" x14ac:dyDescent="0.45">
      <c r="A81" s="1655"/>
      <c r="B81" s="1656"/>
      <c r="C81" s="1186"/>
      <c r="D81" s="1186"/>
      <c r="E81" s="265">
        <f ca="1">IFERROR(VLOOKUP(A81,Stammdaten!$A$68:$C$94,3,FALSE),"&lt;-- prüfen!")</f>
        <v>0</v>
      </c>
      <c r="F81" s="265">
        <f ca="1">IFERROR(C81*D81*E81,"")</f>
        <v>0</v>
      </c>
      <c r="G81" s="267">
        <f ca="1">IFERROR(VLOOKUP(A81,Stammdaten!$A$68:$C$94,2,FALSE),"&lt;-- prüfen!")</f>
        <v>0</v>
      </c>
      <c r="H81" s="322">
        <f ca="1">IFERROR(C81*D81*G81,"")</f>
        <v>0</v>
      </c>
      <c r="I81" s="1128"/>
      <c r="J81" s="1772" t="str">
        <f>IF(AND(C81&gt;0,A81=""),"Zulage auswählen oder Anteil = 0 oder löschen!","")</f>
        <v/>
      </c>
      <c r="K81" s="1772"/>
      <c r="L81" s="935" t="str">
        <f>(IF(AND(C81&gt;0,D81&lt;=0),"Spalten A und B ausfüllen",IF(AND(D81&gt;0,C81&lt;=0),"Spalten A und B ausfüllen","")))</f>
        <v/>
      </c>
    </row>
    <row r="82" spans="1:12" ht="29.45" customHeight="1" x14ac:dyDescent="0.45">
      <c r="A82" s="1657"/>
      <c r="B82" s="1658"/>
      <c r="C82" s="1187"/>
      <c r="D82" s="1187"/>
      <c r="E82" s="265">
        <f ca="1">IFERROR(VLOOKUP(A82,Stammdaten!$A$68:$C$94,3,FALSE),"&lt;-- prüfen!")</f>
        <v>0</v>
      </c>
      <c r="F82" s="80">
        <f ca="1">IFERROR(C82*D82*E82,"")</f>
        <v>0</v>
      </c>
      <c r="G82" s="82">
        <f ca="1">IFERROR(VLOOKUP(A82,Stammdaten!$A$68:$C$94,2,FALSE),"")</f>
        <v>0</v>
      </c>
      <c r="H82" s="161">
        <f ca="1">IFERROR(C82*D82*G82,"")</f>
        <v>0</v>
      </c>
      <c r="I82" s="1128"/>
      <c r="J82" s="1772" t="str">
        <f>IF(AND(C82&gt;0,A82=""),"Zulage auswählen oder Anteil = 0 oder löschen!","")</f>
        <v/>
      </c>
      <c r="K82" s="1772"/>
      <c r="L82" s="935" t="str">
        <f>(IF(AND(C82&gt;0,D82&lt;=0),"Spalten A und B ausfüllen",IF(AND(D82&gt;0,C82&lt;=0),"Spalten A und B ausfüllen","")))</f>
        <v/>
      </c>
    </row>
    <row r="83" spans="1:12" ht="29.45" customHeight="1" thickBot="1" x14ac:dyDescent="0.5">
      <c r="A83" s="1843"/>
      <c r="B83" s="1844"/>
      <c r="C83" s="1188"/>
      <c r="D83" s="1188"/>
      <c r="E83" s="1034">
        <f ca="1">IFERROR(VLOOKUP(A83,Stammdaten!$A$68:$C$94,3,FALSE),"&lt;-- prüfen!")</f>
        <v>0</v>
      </c>
      <c r="F83" s="1034">
        <f ca="1">IFERROR(C83*D83*E83,"")</f>
        <v>0</v>
      </c>
      <c r="G83" s="1036">
        <f ca="1">IFERROR(VLOOKUP(A83,Stammdaten!$A$68:$C$94,2,FALSE),"")</f>
        <v>0</v>
      </c>
      <c r="H83" s="274">
        <f ca="1">IFERROR(C83*D83*G83,"")</f>
        <v>0</v>
      </c>
      <c r="I83" s="1128"/>
      <c r="J83" s="1772" t="str">
        <f>IF(AND(C83&gt;0,A83=""),"Zulage auswählen oder Anteil = 0 oder löschen!","")</f>
        <v/>
      </c>
      <c r="K83" s="1772"/>
      <c r="L83" s="935" t="str">
        <f>(IF(AND(C83&gt;0,D83&lt;=0),"Spalten A und B ausfüllen",IF(AND(D83&gt;0,C83&lt;=0),"Spalten A und B ausfüllen","")))</f>
        <v/>
      </c>
    </row>
    <row r="84" spans="1:12" ht="18" customHeight="1" x14ac:dyDescent="0.45">
      <c r="A84" s="1946" t="s">
        <v>102</v>
      </c>
      <c r="B84" s="1947"/>
      <c r="C84" s="1947"/>
      <c r="D84" s="1948"/>
      <c r="E84" s="1038"/>
      <c r="F84" s="1038"/>
      <c r="G84" s="1038"/>
      <c r="H84" s="606">
        <f ca="1">SUM(H80:H83)</f>
        <v>0</v>
      </c>
      <c r="I84" s="1127"/>
      <c r="J84" s="67"/>
      <c r="K84" s="67"/>
      <c r="L84" s="914"/>
    </row>
    <row r="85" spans="1:12" ht="18" customHeight="1" thickBot="1" x14ac:dyDescent="0.5">
      <c r="A85" s="1659" t="s">
        <v>629</v>
      </c>
      <c r="B85" s="1660"/>
      <c r="C85" s="1660"/>
      <c r="D85" s="1660"/>
      <c r="E85" s="1661"/>
      <c r="F85" s="466">
        <v>1</v>
      </c>
      <c r="G85" s="552">
        <f>IF(F85=2,G$145,1)</f>
        <v>1</v>
      </c>
      <c r="H85" s="323">
        <f ca="1">G85*H84</f>
        <v>0</v>
      </c>
      <c r="I85" s="1128" t="str">
        <f ca="1">IF(AND(ISBLANK(F85),H84&gt;0),"Kennzeichen wählen!","")</f>
        <v/>
      </c>
      <c r="J85" s="1484" t="str">
        <f>IF(ISBLANK(F85),"Kennzeichen eingeben!","")</f>
        <v/>
      </c>
      <c r="K85" s="1484"/>
      <c r="L85" s="1775" t="str">
        <f>IF(AND(F71&lt;&gt;F85,G76="Nein"),"KZ bei B2 sollte mit KZ oben (B1) zusammenpassen!","")</f>
        <v/>
      </c>
    </row>
    <row r="86" spans="1:12" ht="17.850000000000001" customHeight="1" x14ac:dyDescent="0.45">
      <c r="A86" s="1647"/>
      <c r="B86" s="1648"/>
      <c r="C86" s="1649"/>
      <c r="D86" s="1662" t="s">
        <v>189</v>
      </c>
      <c r="E86" s="1663"/>
      <c r="F86" s="73">
        <f ca="1">SUM(F81:F83)</f>
        <v>0</v>
      </c>
      <c r="G86" s="1848"/>
      <c r="H86" s="1586">
        <f ca="1">IFERROR(F86/F87,"")</f>
        <v>0</v>
      </c>
      <c r="I86" s="1127"/>
      <c r="J86" s="67"/>
      <c r="K86" s="67"/>
      <c r="L86" s="1775"/>
    </row>
    <row r="87" spans="1:12" ht="17.850000000000001" customHeight="1" thickBot="1" x14ac:dyDescent="0.5">
      <c r="A87" s="1650"/>
      <c r="B87" s="1651"/>
      <c r="C87" s="1652"/>
      <c r="D87" s="1664" t="s">
        <v>165</v>
      </c>
      <c r="E87" s="1665"/>
      <c r="F87" s="85">
        <f ca="1">G37</f>
        <v>16.36</v>
      </c>
      <c r="G87" s="1849"/>
      <c r="H87" s="1587"/>
      <c r="I87" s="1127"/>
      <c r="J87" s="67"/>
      <c r="K87" s="67"/>
      <c r="L87" s="1775"/>
    </row>
    <row r="88" spans="1:12" ht="17.850000000000001" customHeight="1" thickBot="1" x14ac:dyDescent="0.5">
      <c r="A88" s="539" t="s">
        <v>226</v>
      </c>
      <c r="B88" s="129"/>
      <c r="C88" s="203"/>
      <c r="D88" s="203"/>
      <c r="E88" s="203"/>
      <c r="F88" s="203"/>
      <c r="G88" s="910" t="str">
        <f>IF(G76="Ja","(Wie B1!)","")</f>
        <v>(Wie B1!)</v>
      </c>
      <c r="H88" s="162">
        <f ca="1">IF(G76="Ja",H74,SUM(H85:H87))</f>
        <v>0</v>
      </c>
      <c r="I88" s="1127"/>
      <c r="J88" s="67"/>
      <c r="K88" s="67"/>
      <c r="L88" s="914"/>
    </row>
    <row r="89" spans="1:12" ht="17.850000000000001" customHeight="1" x14ac:dyDescent="0.45">
      <c r="A89" s="1673" t="s">
        <v>227</v>
      </c>
      <c r="B89" s="1674"/>
      <c r="C89" s="1847"/>
      <c r="D89" s="1845" t="s">
        <v>208</v>
      </c>
      <c r="E89" s="1846"/>
      <c r="F89" s="169" t="s">
        <v>81</v>
      </c>
      <c r="G89" s="169" t="s">
        <v>171</v>
      </c>
      <c r="H89" s="981" t="s">
        <v>92</v>
      </c>
      <c r="I89" s="1127"/>
      <c r="J89" s="67"/>
      <c r="K89" s="67"/>
      <c r="L89" s="914"/>
    </row>
    <row r="90" spans="1:12" ht="17.850000000000001" customHeight="1" x14ac:dyDescent="0.45">
      <c r="A90" s="1822" t="s">
        <v>228</v>
      </c>
      <c r="B90" s="1781"/>
      <c r="C90" s="1781"/>
      <c r="D90" s="1781"/>
      <c r="E90" s="1782"/>
      <c r="F90" s="126">
        <f ca="1">H74</f>
        <v>0</v>
      </c>
      <c r="G90" s="207">
        <f ca="1">D49</f>
        <v>30.4</v>
      </c>
      <c r="H90" s="163">
        <f ca="1">F90*G90</f>
        <v>0</v>
      </c>
      <c r="I90" s="1127"/>
      <c r="J90" s="67"/>
      <c r="K90" s="67"/>
      <c r="L90" s="914"/>
    </row>
    <row r="91" spans="1:12" ht="17.850000000000001" customHeight="1" x14ac:dyDescent="0.45">
      <c r="A91" s="1822" t="s">
        <v>303</v>
      </c>
      <c r="B91" s="1781"/>
      <c r="C91" s="1781"/>
      <c r="D91" s="1782"/>
      <c r="E91" s="174" t="s">
        <v>301</v>
      </c>
      <c r="F91" s="126">
        <f ca="1">IF(E91=D93,F90,0)</f>
        <v>0</v>
      </c>
      <c r="G91" s="207">
        <f ca="1">D50</f>
        <v>0</v>
      </c>
      <c r="H91" s="163">
        <f ca="1">F91*G91</f>
        <v>0</v>
      </c>
      <c r="I91" s="1127"/>
      <c r="J91" s="1484" t="str">
        <f>IF(ISBLANK(E91),"Kennzeichen eingeben!","")</f>
        <v/>
      </c>
      <c r="K91" s="1484"/>
      <c r="L91" s="914"/>
    </row>
    <row r="92" spans="1:12" ht="17.850000000000001" customHeight="1" thickBot="1" x14ac:dyDescent="0.5">
      <c r="A92" s="1659" t="s">
        <v>229</v>
      </c>
      <c r="B92" s="1660"/>
      <c r="C92" s="1660"/>
      <c r="D92" s="1660"/>
      <c r="E92" s="1661"/>
      <c r="F92" s="127">
        <f ca="1">H88</f>
        <v>0</v>
      </c>
      <c r="G92" s="207">
        <f ca="1">D51</f>
        <v>1.64</v>
      </c>
      <c r="H92" s="164">
        <f ca="1">F92*G92</f>
        <v>0</v>
      </c>
      <c r="I92" s="1127"/>
      <c r="J92" s="67"/>
      <c r="K92" s="67"/>
      <c r="L92" s="914"/>
    </row>
    <row r="93" spans="1:12" ht="17.850000000000001" customHeight="1" thickBot="1" x14ac:dyDescent="0.5">
      <c r="A93" s="128"/>
      <c r="B93" s="129"/>
      <c r="C93" s="129"/>
      <c r="D93" s="295" t="s">
        <v>301</v>
      </c>
      <c r="E93" s="295" t="s">
        <v>302</v>
      </c>
      <c r="F93" s="129"/>
      <c r="G93" s="192">
        <f ca="1">SUM(G90:G92)</f>
        <v>32.04</v>
      </c>
      <c r="H93" s="449">
        <f ca="1">SUM(H90:H92)</f>
        <v>0</v>
      </c>
      <c r="I93" s="1127"/>
      <c r="J93" s="67"/>
      <c r="K93" s="67"/>
      <c r="L93" s="914"/>
    </row>
    <row r="94" spans="1:12" ht="17.850000000000001" customHeight="1" x14ac:dyDescent="0.45">
      <c r="A94" s="68" t="s">
        <v>318</v>
      </c>
      <c r="B94" s="69"/>
      <c r="C94" s="69"/>
      <c r="D94" s="69"/>
      <c r="E94" s="69"/>
      <c r="F94" s="69"/>
      <c r="G94" s="69"/>
      <c r="H94" s="322">
        <f ca="1">H93/G93</f>
        <v>0</v>
      </c>
      <c r="I94" s="1127"/>
      <c r="J94" s="67"/>
      <c r="K94" s="67"/>
      <c r="L94" s="532" t="str">
        <f>IFERROR(IF(ABS(H95)/G95&gt;0.1,"Individuelle Anpassung bei A4) AKV-Entgelt auffällig hoch. ",""),"")</f>
        <v/>
      </c>
    </row>
    <row r="95" spans="1:12" ht="17.850000000000001" customHeight="1" thickBot="1" x14ac:dyDescent="0.5">
      <c r="A95" s="1931" t="s">
        <v>215</v>
      </c>
      <c r="B95" s="1932"/>
      <c r="C95" s="1932"/>
      <c r="D95" s="1932"/>
      <c r="E95" s="1932"/>
      <c r="F95" s="1932"/>
      <c r="G95" s="1932"/>
      <c r="H95" s="607"/>
      <c r="I95" s="1129" t="str">
        <f>IF(H95&lt;&gt;0,"X","")</f>
        <v/>
      </c>
      <c r="J95" s="67"/>
      <c r="K95" s="67"/>
      <c r="L95" s="532" t="str">
        <f ca="1">IFERROR(IF(ABS(H95)/H94&gt;0.1,"Individuelle Anpassung bei B3) auffällig hoch. ",""),"")</f>
        <v/>
      </c>
    </row>
    <row r="96" spans="1:12" ht="17.850000000000001" customHeight="1" x14ac:dyDescent="0.45">
      <c r="A96" s="106" t="str">
        <f ca="1">"B) Zulagen zB für Erschwernisse (K3 Zeile 7: € "&amp;TEXT(' K3 PP'!O25,"0,00")&amp;" €) in %:"</f>
        <v>B) Zulagen zB für Erschwernisse (K3 Zeile 7: € 0,00 €) in %:</v>
      </c>
      <c r="B96" s="963"/>
      <c r="C96" s="963"/>
      <c r="D96" s="963"/>
      <c r="E96" s="963"/>
      <c r="F96" s="963"/>
      <c r="G96" s="963"/>
      <c r="H96" s="1039">
        <f ca="1">H94+H95</f>
        <v>0</v>
      </c>
      <c r="I96" s="1123"/>
      <c r="J96" s="67"/>
      <c r="K96" s="67"/>
      <c r="L96" s="532" t="str">
        <f ca="1">IFERROR(IF(H96=0,"Keine Erschwerniszuschläge / Zulagen (B) kalkuliert. Bitte prüfen ob korrekt. ",""),"")</f>
        <v xml:space="preserve">Keine Erschwerniszuschläge / Zulagen (B) kalkuliert. Bitte prüfen ob korrekt. </v>
      </c>
    </row>
    <row r="97" spans="1:15" s="67" customFormat="1" ht="17.850000000000001" customHeight="1" x14ac:dyDescent="0.45">
      <c r="A97" s="1060" t="s">
        <v>312</v>
      </c>
      <c r="B97" s="1061">
        <f ca="1">' K3 PP'!$O$23</f>
        <v>17</v>
      </c>
      <c r="C97" s="1060" t="s">
        <v>313</v>
      </c>
      <c r="D97" s="1061">
        <f ca="1">' K3 PP'!$O$33</f>
        <v>43</v>
      </c>
      <c r="E97" s="1062" t="s">
        <v>314</v>
      </c>
      <c r="F97" s="1061">
        <f ca="1">' K3 PP'!$O$44</f>
        <v>64</v>
      </c>
      <c r="G97" s="1060" t="s">
        <v>315</v>
      </c>
      <c r="H97" s="1063">
        <f ca="1">' K3 PP'!$Q$45</f>
        <v>64</v>
      </c>
      <c r="I97" s="1127"/>
      <c r="L97" s="914"/>
      <c r="M97" s="915"/>
      <c r="N97" s="915"/>
      <c r="O97" s="916"/>
    </row>
    <row r="98" spans="1:15" s="88" customFormat="1" ht="17.850000000000001" customHeight="1" x14ac:dyDescent="0.45">
      <c r="A98" s="1653"/>
      <c r="B98" s="1654"/>
      <c r="C98" s="1654"/>
      <c r="D98" s="1654"/>
      <c r="E98" s="1654"/>
      <c r="F98" s="1654"/>
      <c r="G98" s="1654"/>
      <c r="H98" s="1654"/>
      <c r="I98" s="1127"/>
      <c r="J98" s="96"/>
      <c r="K98" s="96"/>
      <c r="L98" s="917"/>
      <c r="M98" s="918"/>
      <c r="N98" s="918"/>
      <c r="O98" s="919"/>
    </row>
    <row r="99" spans="1:15" s="88" customFormat="1" ht="17.850000000000001" customHeight="1" x14ac:dyDescent="0.45">
      <c r="A99" s="1540" t="s">
        <v>311</v>
      </c>
      <c r="B99" s="1541"/>
      <c r="C99" s="1541"/>
      <c r="D99" s="1541"/>
      <c r="E99" s="1541"/>
      <c r="F99" s="1541"/>
      <c r="G99" s="1541"/>
      <c r="H99" s="1541"/>
      <c r="I99" s="1127"/>
      <c r="J99" s="96"/>
      <c r="K99" s="96"/>
      <c r="L99" s="917"/>
      <c r="M99" s="918"/>
      <c r="N99" s="918"/>
      <c r="O99" s="919"/>
    </row>
    <row r="100" spans="1:15" s="96" customFormat="1" ht="17.850000000000001" customHeight="1" x14ac:dyDescent="0.45">
      <c r="A100" s="1841" t="s">
        <v>500</v>
      </c>
      <c r="B100" s="1841"/>
      <c r="C100" s="1841"/>
      <c r="D100" s="1826" t="s">
        <v>635</v>
      </c>
      <c r="E100" s="1826" t="s">
        <v>174</v>
      </c>
      <c r="F100" s="1826" t="s">
        <v>175</v>
      </c>
      <c r="G100" s="1837" t="s">
        <v>28</v>
      </c>
      <c r="H100" s="1838"/>
      <c r="I100" s="1127"/>
      <c r="L100" s="917"/>
      <c r="M100" s="920"/>
      <c r="N100" s="920"/>
      <c r="O100" s="921"/>
    </row>
    <row r="101" spans="1:15" s="96" customFormat="1" ht="17.850000000000001" customHeight="1" x14ac:dyDescent="0.45">
      <c r="A101" s="1841"/>
      <c r="B101" s="1841"/>
      <c r="C101" s="1841"/>
      <c r="D101" s="1826"/>
      <c r="E101" s="1826"/>
      <c r="F101" s="1826"/>
      <c r="G101" s="1826" t="s">
        <v>129</v>
      </c>
      <c r="H101" s="1839" t="s">
        <v>130</v>
      </c>
      <c r="I101" s="1127"/>
      <c r="L101" s="917"/>
      <c r="M101" s="920"/>
      <c r="N101" s="920"/>
      <c r="O101" s="921"/>
    </row>
    <row r="102" spans="1:15" s="96" customFormat="1" ht="17.850000000000001" customHeight="1" thickBot="1" x14ac:dyDescent="0.5">
      <c r="A102" s="1842"/>
      <c r="B102" s="1842"/>
      <c r="C102" s="1842"/>
      <c r="D102" s="1827"/>
      <c r="E102" s="1827"/>
      <c r="F102" s="1827"/>
      <c r="G102" s="1827" t="s">
        <v>21</v>
      </c>
      <c r="H102" s="1840"/>
      <c r="I102" s="1127"/>
      <c r="L102" s="917"/>
      <c r="M102" s="920"/>
      <c r="N102" s="920"/>
      <c r="O102" s="921"/>
    </row>
    <row r="103" spans="1:15" s="96" customFormat="1" ht="17.850000000000001" customHeight="1" x14ac:dyDescent="0.45">
      <c r="A103" s="1758"/>
      <c r="B103" s="1759"/>
      <c r="C103" s="1760"/>
      <c r="D103" s="1186"/>
      <c r="E103" s="960">
        <f ca="1">IFERROR(VLOOKUP(A103,Stammdaten!A$114:D$116,4,FALSE),"")</f>
        <v>0</v>
      </c>
      <c r="F103" s="957" t="str">
        <f>IF(D103&gt;0,C$158,"")</f>
        <v/>
      </c>
      <c r="G103" s="271" t="str">
        <f ca="1">IFERROR(VLOOKUP(A103,Stammdaten!A$114:D$116,2,FALSE)*D103*F103,"")</f>
        <v/>
      </c>
      <c r="H103" s="324" t="str">
        <f ca="1">IFERROR(VLOOKUP(A103,Stammdaten!A$114:D$116,3,FALSE)*D103*F103,"")</f>
        <v/>
      </c>
      <c r="I103" s="1127"/>
      <c r="J103" s="1484" t="str">
        <f>IF(AND(ISBLANK(A103),D103&gt;0),"Entschädigung wählen!","")</f>
        <v/>
      </c>
      <c r="K103" s="1484"/>
      <c r="L103" s="917"/>
      <c r="M103" s="920"/>
      <c r="N103" s="920"/>
      <c r="O103" s="921"/>
    </row>
    <row r="104" spans="1:15" s="96" customFormat="1" ht="17.850000000000001" customHeight="1" x14ac:dyDescent="0.45">
      <c r="A104" s="1746"/>
      <c r="B104" s="1747"/>
      <c r="C104" s="1748"/>
      <c r="D104" s="1187"/>
      <c r="E104" s="960">
        <f ca="1">IFERROR(VLOOKUP(A104,Stammdaten!A$114:D$116,4,FALSE),"")</f>
        <v>0</v>
      </c>
      <c r="F104" s="958" t="str">
        <f>IF(D104&gt;0,C$158,"")</f>
        <v/>
      </c>
      <c r="G104" s="189" t="str">
        <f ca="1">IFERROR(VLOOKUP(A104,Stammdaten!A$114:D$116,2,FALSE)*D104*F104,"")</f>
        <v/>
      </c>
      <c r="H104" s="325" t="str">
        <f ca="1">IFERROR(VLOOKUP(A104,Stammdaten!A$114:D$116,3,FALSE)*D104*F104,"")</f>
        <v/>
      </c>
      <c r="I104" s="1127"/>
      <c r="J104" s="1484" t="str">
        <f>IF(AND(ISBLANK(A104),D104&gt;0),"Entschädigung wählen!","")</f>
        <v/>
      </c>
      <c r="K104" s="1484"/>
      <c r="L104" s="917"/>
      <c r="M104" s="920"/>
      <c r="N104" s="920"/>
      <c r="O104" s="921"/>
    </row>
    <row r="105" spans="1:15" s="96" customFormat="1" ht="17.850000000000001" customHeight="1" thickBot="1" x14ac:dyDescent="0.5">
      <c r="A105" s="1749"/>
      <c r="B105" s="1750"/>
      <c r="C105" s="1751"/>
      <c r="D105" s="1189"/>
      <c r="E105" s="961">
        <f ca="1">IFERROR(VLOOKUP(A105,Stammdaten!A$114:D$116,4,FALSE),"")</f>
        <v>0</v>
      </c>
      <c r="F105" s="959" t="str">
        <f>IF(D105&gt;0,C$158,"")</f>
        <v/>
      </c>
      <c r="G105" s="190" t="str">
        <f ca="1">IFERROR(VLOOKUP(A105,Stammdaten!A$114:D$116,2,FALSE)*D105*F105,"")</f>
        <v/>
      </c>
      <c r="H105" s="450" t="str">
        <f ca="1">IFERROR(VLOOKUP(A105,Stammdaten!A$114:D$116,3,FALSE)*D105*F105,"")</f>
        <v/>
      </c>
      <c r="I105" s="1127"/>
      <c r="J105" s="1484" t="str">
        <f>IF(AND(ISBLANK(A105),D105&gt;0),"Entschädigung wählen!","")</f>
        <v/>
      </c>
      <c r="K105" s="1484"/>
      <c r="L105" s="917"/>
      <c r="M105" s="920"/>
      <c r="N105" s="920"/>
      <c r="O105" s="921"/>
    </row>
    <row r="106" spans="1:15" s="96" customFormat="1" ht="17.850000000000001" customHeight="1" thickBot="1" x14ac:dyDescent="0.5">
      <c r="A106" s="1764" t="s">
        <v>200</v>
      </c>
      <c r="B106" s="1765"/>
      <c r="C106" s="1765"/>
      <c r="D106" s="1765"/>
      <c r="E106" s="1765"/>
      <c r="F106" s="1766"/>
      <c r="G106" s="191">
        <f ca="1">SUM(G100:G105)</f>
        <v>0</v>
      </c>
      <c r="H106" s="326">
        <f ca="1">SUM(H100:H105)</f>
        <v>0</v>
      </c>
      <c r="I106" s="1127"/>
      <c r="L106" s="917"/>
      <c r="M106" s="920"/>
      <c r="N106" s="920"/>
      <c r="O106" s="921"/>
    </row>
    <row r="107" spans="1:15" ht="17.850000000000001" customHeight="1" x14ac:dyDescent="0.45">
      <c r="A107" s="1717" t="s">
        <v>628</v>
      </c>
      <c r="B107" s="1763"/>
      <c r="C107" s="1718"/>
      <c r="D107" s="1566" t="s">
        <v>634</v>
      </c>
      <c r="E107" s="1566" t="s">
        <v>96</v>
      </c>
      <c r="F107" s="1566" t="s">
        <v>476</v>
      </c>
      <c r="G107" s="1582" t="s">
        <v>28</v>
      </c>
      <c r="H107" s="1583"/>
      <c r="I107" s="1127"/>
      <c r="J107" s="67"/>
      <c r="K107" s="67"/>
      <c r="L107" s="914"/>
    </row>
    <row r="108" spans="1:15" ht="17.850000000000001" customHeight="1" x14ac:dyDescent="0.45">
      <c r="A108" s="1591"/>
      <c r="B108" s="1755"/>
      <c r="C108" s="1592"/>
      <c r="D108" s="1567"/>
      <c r="E108" s="1567"/>
      <c r="F108" s="1567"/>
      <c r="G108" s="1567" t="s">
        <v>129</v>
      </c>
      <c r="H108" s="1569" t="s">
        <v>130</v>
      </c>
      <c r="I108" s="1127"/>
      <c r="J108" s="67"/>
      <c r="K108" s="67"/>
      <c r="L108" s="914"/>
    </row>
    <row r="109" spans="1:15" ht="17.850000000000001" customHeight="1" thickBot="1" x14ac:dyDescent="0.5">
      <c r="A109" s="1719"/>
      <c r="B109" s="1756"/>
      <c r="C109" s="1720"/>
      <c r="D109" s="1568"/>
      <c r="E109" s="1568"/>
      <c r="F109" s="1568"/>
      <c r="G109" s="1568" t="s">
        <v>21</v>
      </c>
      <c r="H109" s="1570"/>
      <c r="I109" s="1127"/>
      <c r="J109" s="67"/>
      <c r="K109" s="67"/>
      <c r="L109" s="914"/>
    </row>
    <row r="110" spans="1:15" ht="17.850000000000001" customHeight="1" x14ac:dyDescent="0.45">
      <c r="A110" s="1758" t="s">
        <v>701</v>
      </c>
      <c r="B110" s="1759"/>
      <c r="C110" s="1760"/>
      <c r="D110" s="1186">
        <v>1</v>
      </c>
      <c r="E110" s="960">
        <f ca="1">IFERROR(VLOOKUP(A110,Stammdaten!A$100:D$111,4,FALSE),"&lt;-- prüfen!")</f>
        <v>7</v>
      </c>
      <c r="F110" s="553">
        <v>5</v>
      </c>
      <c r="G110" s="77">
        <f ca="1">IFERROR(VLOOKUP(A110,Stammdaten!A$100:C$111,2,FALSE)*D110*F110,"")</f>
        <v>35</v>
      </c>
      <c r="H110" s="159">
        <f ca="1">IFERROR(VLOOKUP(A110,Stammdaten!A$100:C$111,3,FALSE)*D110*F110,"")</f>
        <v>0</v>
      </c>
      <c r="I110" s="1127"/>
      <c r="J110" s="1484" t="str">
        <f t="shared" ref="J110:J115" si="6">IF(AND((D110+F110)&gt;0,(D110*F110)=0),"Eingabe unvollständig","")</f>
        <v/>
      </c>
      <c r="K110" s="1484"/>
      <c r="L110" s="914"/>
    </row>
    <row r="111" spans="1:15" ht="17.850000000000001" customHeight="1" x14ac:dyDescent="0.45">
      <c r="A111" s="1746"/>
      <c r="B111" s="1747"/>
      <c r="C111" s="1748"/>
      <c r="D111" s="1187"/>
      <c r="E111" s="960">
        <f ca="1">IFERROR(VLOOKUP(A111,Stammdaten!A$100:D$111,4,FALSE),"&lt;-- prüfen!")</f>
        <v>0</v>
      </c>
      <c r="F111" s="554"/>
      <c r="G111" s="73">
        <f ca="1">IFERROR(VLOOKUP(A111,Stammdaten!A$100:C$111,2,FALSE)*D111*F111,"")</f>
        <v>0</v>
      </c>
      <c r="H111" s="113">
        <f ca="1">IFERROR(VLOOKUP(A111,Stammdaten!A$100:C$111,3,FALSE)*D111*F111,"")</f>
        <v>0</v>
      </c>
      <c r="I111" s="1127"/>
      <c r="J111" s="1484" t="str">
        <f t="shared" si="6"/>
        <v/>
      </c>
      <c r="K111" s="1484"/>
      <c r="L111" s="914"/>
    </row>
    <row r="112" spans="1:15" ht="17.850000000000001" customHeight="1" x14ac:dyDescent="0.45">
      <c r="A112" s="1746"/>
      <c r="B112" s="1747"/>
      <c r="C112" s="1748"/>
      <c r="D112" s="1187"/>
      <c r="E112" s="960">
        <f ca="1">IFERROR(VLOOKUP(A112,Stammdaten!A$100:D$111,4,FALSE),"&lt;-- prüfen!")</f>
        <v>0</v>
      </c>
      <c r="F112" s="554"/>
      <c r="G112" s="73">
        <f ca="1">IFERROR(VLOOKUP(A112,Stammdaten!A$100:C$111,2,FALSE)*D112*F112,"")</f>
        <v>0</v>
      </c>
      <c r="H112" s="113">
        <f ca="1">IFERROR(VLOOKUP(A112,Stammdaten!A$100:C$111,3,FALSE)*D112*F112,"")</f>
        <v>0</v>
      </c>
      <c r="I112" s="1127"/>
      <c r="J112" s="1484" t="str">
        <f t="shared" si="6"/>
        <v/>
      </c>
      <c r="K112" s="1484"/>
      <c r="L112" s="914"/>
    </row>
    <row r="113" spans="1:12" ht="17.850000000000001" customHeight="1" x14ac:dyDescent="0.45">
      <c r="A113" s="1746"/>
      <c r="B113" s="1747"/>
      <c r="C113" s="1748"/>
      <c r="D113" s="1187"/>
      <c r="E113" s="960">
        <f ca="1">IFERROR(VLOOKUP(A113,Stammdaten!A$100:D$111,4,FALSE),"&lt;-- prüfen!")</f>
        <v>0</v>
      </c>
      <c r="F113" s="554"/>
      <c r="G113" s="73">
        <f ca="1">IFERROR(VLOOKUP(A113,Stammdaten!A$100:C$111,2,FALSE)*D113*F113,"")</f>
        <v>0</v>
      </c>
      <c r="H113" s="113">
        <f ca="1">IFERROR(VLOOKUP(A113,Stammdaten!A$100:C$111,3,FALSE)*D113*F113,"")</f>
        <v>0</v>
      </c>
      <c r="I113" s="1127"/>
      <c r="J113" s="1484" t="str">
        <f t="shared" si="6"/>
        <v/>
      </c>
      <c r="K113" s="1484"/>
      <c r="L113" s="914"/>
    </row>
    <row r="114" spans="1:12" ht="17.850000000000001" customHeight="1" x14ac:dyDescent="0.45">
      <c r="A114" s="1746"/>
      <c r="B114" s="1747"/>
      <c r="C114" s="1748"/>
      <c r="D114" s="1187"/>
      <c r="E114" s="960">
        <f ca="1">IFERROR(VLOOKUP(A114,Stammdaten!A$100:D$111,4,FALSE),"&lt;-- prüfen!")</f>
        <v>0</v>
      </c>
      <c r="F114" s="554"/>
      <c r="G114" s="73">
        <f ca="1">IFERROR(VLOOKUP(A114,Stammdaten!A$100:C$111,2,FALSE)*D114*F114,"")</f>
        <v>0</v>
      </c>
      <c r="H114" s="113">
        <f ca="1">IFERROR(VLOOKUP(A114,Stammdaten!A$100:C$111,3,FALSE)*D114*F114,"")</f>
        <v>0</v>
      </c>
      <c r="I114" s="1127"/>
      <c r="J114" s="1484" t="str">
        <f t="shared" si="6"/>
        <v/>
      </c>
      <c r="K114" s="1484"/>
      <c r="L114" s="914"/>
    </row>
    <row r="115" spans="1:12" ht="17.850000000000001" customHeight="1" thickBot="1" x14ac:dyDescent="0.5">
      <c r="A115" s="1749"/>
      <c r="B115" s="1750"/>
      <c r="C115" s="1751"/>
      <c r="D115" s="1189"/>
      <c r="E115" s="960">
        <f ca="1">IFERROR(VLOOKUP(A115,Stammdaten!A$100:D$111,4,FALSE),"&lt;-- prüfen!")</f>
        <v>0</v>
      </c>
      <c r="F115" s="555"/>
      <c r="G115" s="90">
        <f ca="1">IFERROR(VLOOKUP(A115,Stammdaten!A$100:C$111,2,FALSE)*D115*F115,"")</f>
        <v>0</v>
      </c>
      <c r="H115" s="90">
        <f ca="1">IFERROR(VLOOKUP(A115,Stammdaten!A$100:C$111,3,FALSE)*D115*F115,"")</f>
        <v>0</v>
      </c>
      <c r="I115" s="1127"/>
      <c r="J115" s="1484" t="str">
        <f t="shared" si="6"/>
        <v/>
      </c>
      <c r="K115" s="1484"/>
      <c r="L115" s="914"/>
    </row>
    <row r="116" spans="1:12" ht="17.850000000000001" customHeight="1" thickBot="1" x14ac:dyDescent="0.5">
      <c r="A116" s="1850" t="s">
        <v>201</v>
      </c>
      <c r="B116" s="1851"/>
      <c r="C116" s="1851"/>
      <c r="D116" s="1851"/>
      <c r="E116" s="1851"/>
      <c r="F116" s="1930"/>
      <c r="G116" s="272">
        <f ca="1">SUM(G110:G115)</f>
        <v>35</v>
      </c>
      <c r="H116" s="564">
        <f ca="1">SUM(H110:H115)</f>
        <v>0</v>
      </c>
      <c r="I116" s="1127"/>
      <c r="J116" s="67"/>
      <c r="K116" s="67"/>
      <c r="L116" s="914"/>
    </row>
    <row r="117" spans="1:12" ht="17.850000000000001" customHeight="1" x14ac:dyDescent="0.45">
      <c r="A117" s="1591" t="s">
        <v>501</v>
      </c>
      <c r="B117" s="1755"/>
      <c r="C117" s="1592"/>
      <c r="D117" s="1581" t="s">
        <v>633</v>
      </c>
      <c r="E117" s="1581" t="s">
        <v>97</v>
      </c>
      <c r="F117" s="1761"/>
      <c r="G117" s="1752" t="s">
        <v>28</v>
      </c>
      <c r="H117" s="1753"/>
      <c r="I117" s="1127"/>
      <c r="J117" s="67"/>
      <c r="K117" s="67"/>
      <c r="L117" s="914"/>
    </row>
    <row r="118" spans="1:12" ht="17.850000000000001" customHeight="1" x14ac:dyDescent="0.45">
      <c r="A118" s="1591"/>
      <c r="B118" s="1755"/>
      <c r="C118" s="1592"/>
      <c r="D118" s="1567"/>
      <c r="E118" s="1567"/>
      <c r="F118" s="1761"/>
      <c r="G118" s="1567" t="s">
        <v>129</v>
      </c>
      <c r="H118" s="1569" t="s">
        <v>130</v>
      </c>
      <c r="I118" s="1127"/>
      <c r="J118" s="67"/>
      <c r="K118" s="67"/>
      <c r="L118" s="914"/>
    </row>
    <row r="119" spans="1:12" ht="17.850000000000001" customHeight="1" thickBot="1" x14ac:dyDescent="0.5">
      <c r="A119" s="1719"/>
      <c r="B119" s="1756"/>
      <c r="C119" s="1720"/>
      <c r="D119" s="1568"/>
      <c r="E119" s="1568"/>
      <c r="F119" s="1762"/>
      <c r="G119" s="1568" t="s">
        <v>21</v>
      </c>
      <c r="H119" s="1570"/>
      <c r="I119" s="1127"/>
      <c r="J119" s="67"/>
      <c r="K119" s="67"/>
      <c r="L119" s="914"/>
    </row>
    <row r="120" spans="1:12" ht="17.850000000000001" customHeight="1" x14ac:dyDescent="0.45">
      <c r="A120" s="1754"/>
      <c r="B120" s="1754"/>
      <c r="C120" s="1754"/>
      <c r="D120" s="1186"/>
      <c r="E120" s="962">
        <f ca="1">IFERROR(VLOOKUP(A120,Stammdaten!A$119:D$124,4,FALSE),"")</f>
        <v>0</v>
      </c>
      <c r="F120" s="273"/>
      <c r="G120" s="77">
        <f ca="1">IFERROR(VLOOKUP(A120,Stammdaten!A$119:C$124,2,FALSE)*D120,"")</f>
        <v>0</v>
      </c>
      <c r="H120" s="159">
        <f ca="1">IFERROR(VLOOKUP(A120,Stammdaten!A$119:C$124,3,FALSE)*D120,"")</f>
        <v>0</v>
      </c>
      <c r="I120" s="1127"/>
      <c r="J120" s="1484"/>
      <c r="K120" s="1484"/>
      <c r="L120" s="914"/>
    </row>
    <row r="121" spans="1:12" ht="17.850000000000001" customHeight="1" x14ac:dyDescent="0.45">
      <c r="A121" s="1828"/>
      <c r="B121" s="1828"/>
      <c r="C121" s="1828"/>
      <c r="D121" s="1187"/>
      <c r="E121" s="962">
        <f ca="1">IFERROR(VLOOKUP(A121,Stammdaten!A$119:D$124,4,FALSE),"")</f>
        <v>0</v>
      </c>
      <c r="F121" s="91"/>
      <c r="G121" s="73">
        <f ca="1">IFERROR(VLOOKUP(A121,Stammdaten!A$119:C$124,2,FALSE)*D121,"")</f>
        <v>0</v>
      </c>
      <c r="H121" s="113">
        <f ca="1">IFERROR(VLOOKUP(A121,Stammdaten!A$119:C$124,3,FALSE)*D121,"")</f>
        <v>0</v>
      </c>
      <c r="I121" s="1127"/>
      <c r="J121" s="1484"/>
      <c r="K121" s="1484"/>
      <c r="L121" s="914"/>
    </row>
    <row r="122" spans="1:12" ht="17.850000000000001" customHeight="1" x14ac:dyDescent="0.45">
      <c r="A122" s="1828"/>
      <c r="B122" s="1828"/>
      <c r="C122" s="1828"/>
      <c r="D122" s="1187"/>
      <c r="E122" s="962">
        <f ca="1">IFERROR(VLOOKUP(A122,Stammdaten!A$119:D$124,4,FALSE),"")</f>
        <v>0</v>
      </c>
      <c r="F122" s="91"/>
      <c r="G122" s="73">
        <f ca="1">IFERROR(VLOOKUP(A122,Stammdaten!A$119:C$124,2,FALSE)*D122,"")</f>
        <v>0</v>
      </c>
      <c r="H122" s="113">
        <f ca="1">IFERROR(VLOOKUP(A122,Stammdaten!A$119:C$124,3,FALSE)*D122,"")</f>
        <v>0</v>
      </c>
      <c r="I122" s="1127"/>
      <c r="J122" s="1484"/>
      <c r="K122" s="1484"/>
      <c r="L122" s="914"/>
    </row>
    <row r="123" spans="1:12" ht="17.850000000000001" customHeight="1" x14ac:dyDescent="0.45">
      <c r="A123" s="1828"/>
      <c r="B123" s="1828"/>
      <c r="C123" s="1828"/>
      <c r="D123" s="1187"/>
      <c r="E123" s="962">
        <f ca="1">IFERROR(VLOOKUP(A123,Stammdaten!A$119:D$124,4,FALSE),"")</f>
        <v>0</v>
      </c>
      <c r="F123" s="91"/>
      <c r="G123" s="73">
        <f ca="1">IFERROR(VLOOKUP(A123,Stammdaten!A$119:C$124,2,FALSE)*D123,"")</f>
        <v>0</v>
      </c>
      <c r="H123" s="113">
        <f ca="1">IFERROR(VLOOKUP(A123,Stammdaten!A$119:C$124,3,FALSE)*D123,"")</f>
        <v>0</v>
      </c>
      <c r="I123" s="1127"/>
      <c r="J123" s="1484"/>
      <c r="K123" s="1484"/>
      <c r="L123" s="914"/>
    </row>
    <row r="124" spans="1:12" ht="17.850000000000001" customHeight="1" thickBot="1" x14ac:dyDescent="0.5">
      <c r="A124" s="1757"/>
      <c r="B124" s="1757"/>
      <c r="C124" s="1757"/>
      <c r="D124" s="1189"/>
      <c r="E124" s="962">
        <f ca="1">IFERROR(VLOOKUP(A124,Stammdaten!A$119:D$124,4,FALSE),"")</f>
        <v>0</v>
      </c>
      <c r="F124" s="89"/>
      <c r="G124" s="90">
        <f ca="1">IFERROR(VLOOKUP(A124,Stammdaten!A$119:C$124,2,FALSE)*D124,"")</f>
        <v>0</v>
      </c>
      <c r="H124" s="90">
        <f ca="1">IFERROR(VLOOKUP(A124,Stammdaten!A$119:C$124,3,FALSE)*D124,"")</f>
        <v>0</v>
      </c>
      <c r="I124" s="1127"/>
      <c r="J124" s="1484"/>
      <c r="K124" s="1484"/>
      <c r="L124" s="914"/>
    </row>
    <row r="125" spans="1:12" ht="17.850000000000001" customHeight="1" x14ac:dyDescent="0.45">
      <c r="A125" s="1829" t="s">
        <v>202</v>
      </c>
      <c r="B125" s="1830"/>
      <c r="C125" s="1830"/>
      <c r="D125" s="1830"/>
      <c r="E125" s="1830"/>
      <c r="F125" s="1831"/>
      <c r="G125" s="782">
        <f ca="1">SUM(G119:G124)</f>
        <v>0</v>
      </c>
      <c r="H125" s="783">
        <f ca="1">SUM(H119:H124)</f>
        <v>0</v>
      </c>
      <c r="I125" s="1127"/>
      <c r="J125" s="67"/>
      <c r="K125" s="67"/>
      <c r="L125" s="914"/>
    </row>
    <row r="126" spans="1:12" ht="17.850000000000001" customHeight="1" x14ac:dyDescent="0.45">
      <c r="A126" s="1589" t="s">
        <v>565</v>
      </c>
      <c r="B126" s="1590"/>
      <c r="C126" s="1571" t="s">
        <v>632</v>
      </c>
      <c r="D126" s="1571" t="s">
        <v>503</v>
      </c>
      <c r="E126" s="1575" t="s">
        <v>502</v>
      </c>
      <c r="F126" s="1576"/>
      <c r="G126" s="784"/>
      <c r="H126" s="1588" t="s">
        <v>82</v>
      </c>
      <c r="I126" s="1127"/>
      <c r="J126" s="67"/>
      <c r="K126" s="67"/>
      <c r="L126" s="914"/>
    </row>
    <row r="127" spans="1:12" ht="17.850000000000001" customHeight="1" x14ac:dyDescent="0.45">
      <c r="A127" s="1591"/>
      <c r="B127" s="1592"/>
      <c r="C127" s="1572"/>
      <c r="D127" s="1572"/>
      <c r="E127" s="1577"/>
      <c r="F127" s="1578"/>
      <c r="G127" s="101"/>
      <c r="H127" s="1573"/>
      <c r="I127" s="1127"/>
      <c r="J127" s="67"/>
      <c r="K127" s="67"/>
      <c r="L127" s="914"/>
    </row>
    <row r="128" spans="1:12" ht="17.850000000000001" customHeight="1" x14ac:dyDescent="0.45">
      <c r="A128" s="1934" t="s">
        <v>566</v>
      </c>
      <c r="B128" s="1935"/>
      <c r="C128" s="1573"/>
      <c r="D128" s="1572"/>
      <c r="E128" s="1579"/>
      <c r="F128" s="1580"/>
      <c r="G128" s="101"/>
      <c r="H128" s="1573"/>
      <c r="I128" s="1127"/>
      <c r="J128" s="67"/>
      <c r="K128" s="67"/>
      <c r="L128" s="914"/>
    </row>
    <row r="129" spans="1:15" ht="17.850000000000001" customHeight="1" x14ac:dyDescent="0.45">
      <c r="A129" s="1579" t="s">
        <v>631</v>
      </c>
      <c r="B129" s="1574"/>
      <c r="C129" s="1574"/>
      <c r="D129" s="1581"/>
      <c r="E129" s="986" t="s">
        <v>304</v>
      </c>
      <c r="F129" s="990" t="s">
        <v>504</v>
      </c>
      <c r="G129" s="101"/>
      <c r="H129" s="999"/>
      <c r="I129" s="1127"/>
      <c r="J129" s="67"/>
      <c r="K129" s="67"/>
      <c r="L129" s="914"/>
    </row>
    <row r="130" spans="1:15" ht="17.850000000000001" customHeight="1" x14ac:dyDescent="0.45">
      <c r="A130" s="1859">
        <v>1</v>
      </c>
      <c r="B130" s="1860"/>
      <c r="C130" s="553">
        <v>5</v>
      </c>
      <c r="D130" s="785">
        <v>0.5</v>
      </c>
      <c r="E130" s="786">
        <v>2</v>
      </c>
      <c r="F130" s="787">
        <f ca="1">IF(E130=1,G$32,IF(E130=2,(G$32+H$32),0))</f>
        <v>17.93</v>
      </c>
      <c r="G130" s="273"/>
      <c r="H130" s="73">
        <f ca="1">IFERROR(A130*C130*D130*F130,"")</f>
        <v>44.83</v>
      </c>
      <c r="I130" s="1127"/>
      <c r="J130" s="67"/>
      <c r="K130" s="67"/>
      <c r="L130" s="914"/>
    </row>
    <row r="131" spans="1:15" ht="17.850000000000001" customHeight="1" thickBot="1" x14ac:dyDescent="0.5">
      <c r="A131" s="1861" t="s">
        <v>567</v>
      </c>
      <c r="B131" s="1862"/>
      <c r="C131" s="662" t="s">
        <v>552</v>
      </c>
      <c r="D131" s="662"/>
      <c r="E131" s="662"/>
      <c r="F131" s="664"/>
      <c r="G131" s="663"/>
      <c r="H131" s="191">
        <f>F131</f>
        <v>0</v>
      </c>
      <c r="I131" s="1129" t="str">
        <f>IF(OR(F131&lt;&gt;0),"X","")</f>
        <v/>
      </c>
      <c r="J131" s="67"/>
      <c r="K131" s="67"/>
      <c r="L131" s="914"/>
    </row>
    <row r="132" spans="1:15" ht="17.850000000000001" customHeight="1" thickBot="1" x14ac:dyDescent="0.5">
      <c r="A132" s="1850" t="s">
        <v>203</v>
      </c>
      <c r="B132" s="1851"/>
      <c r="C132" s="1851"/>
      <c r="D132" s="1851"/>
      <c r="E132" s="1851"/>
      <c r="F132" s="1851"/>
      <c r="G132" s="204"/>
      <c r="H132" s="564">
        <f ca="1">SUM(H130:H131)</f>
        <v>44.83</v>
      </c>
      <c r="I132" s="1127"/>
      <c r="J132" s="67"/>
      <c r="K132" s="67"/>
      <c r="L132" s="914"/>
    </row>
    <row r="133" spans="1:15" ht="17.850000000000001" customHeight="1" thickBot="1" x14ac:dyDescent="0.5">
      <c r="A133" s="1819" t="s">
        <v>230</v>
      </c>
      <c r="B133" s="1820"/>
      <c r="C133" s="1852" t="s">
        <v>237</v>
      </c>
      <c r="D133" s="1852"/>
      <c r="E133" s="1852"/>
      <c r="F133" s="1853"/>
      <c r="G133" s="84">
        <f ca="1">SUM(G106,G116,G125)</f>
        <v>35</v>
      </c>
      <c r="H133" s="159">
        <f ca="1">SUM(H106,H116,H125,H132)</f>
        <v>44.83</v>
      </c>
      <c r="I133" s="1127"/>
      <c r="J133" s="67"/>
      <c r="K133" s="67"/>
      <c r="L133" s="914"/>
    </row>
    <row r="134" spans="1:15" ht="17.850000000000001" customHeight="1" x14ac:dyDescent="0.45">
      <c r="A134" s="1832" t="s">
        <v>224</v>
      </c>
      <c r="B134" s="1833"/>
      <c r="C134" s="1833"/>
      <c r="D134" s="1833"/>
      <c r="E134" s="665" t="s">
        <v>553</v>
      </c>
      <c r="F134" s="186" t="s">
        <v>161</v>
      </c>
      <c r="G134" s="114"/>
      <c r="H134" s="113"/>
      <c r="I134" s="1127"/>
      <c r="J134" s="67"/>
      <c r="K134" s="67"/>
      <c r="L134" s="914"/>
    </row>
    <row r="135" spans="1:15" ht="17.850000000000001" customHeight="1" thickBot="1" x14ac:dyDescent="0.5">
      <c r="A135" s="1664" t="s">
        <v>568</v>
      </c>
      <c r="B135" s="1665"/>
      <c r="C135" s="1665"/>
      <c r="D135" s="187">
        <f>H45/F45</f>
        <v>5.2600000000000001E-2</v>
      </c>
      <c r="E135" s="1190"/>
      <c r="F135" s="188">
        <f>D135+E135</f>
        <v>5.2600000000000001E-2</v>
      </c>
      <c r="G135" s="114">
        <f ca="1">F135*G133</f>
        <v>1.84</v>
      </c>
      <c r="H135" s="113">
        <f ca="1">F135*H133</f>
        <v>2.36</v>
      </c>
      <c r="I135" s="1129" t="str">
        <f>IF(E135&lt;&gt;0,"X","")</f>
        <v/>
      </c>
      <c r="J135" s="67"/>
      <c r="K135" s="67"/>
      <c r="L135" s="532" t="str">
        <f ca="1">IFERROR(IF(ABS(G136)/G137&gt;0.1,"Individuelle Anpassung bei C5) 'abgabefrei' auffällig hoch. ",""),"")</f>
        <v/>
      </c>
    </row>
    <row r="136" spans="1:15" ht="17.850000000000001" customHeight="1" thickBot="1" x14ac:dyDescent="0.5">
      <c r="A136" s="1393" t="s">
        <v>505</v>
      </c>
      <c r="B136" s="1394"/>
      <c r="C136" s="1394"/>
      <c r="D136" s="1395"/>
      <c r="E136" s="1191"/>
      <c r="F136" s="513"/>
      <c r="G136" s="90">
        <f>E136</f>
        <v>0</v>
      </c>
      <c r="H136" s="90">
        <f>F136</f>
        <v>0</v>
      </c>
      <c r="I136" s="1129" t="str">
        <f>IF(OR(E136&lt;&gt;0,F136&lt;&gt;0),"X","")</f>
        <v/>
      </c>
      <c r="J136" s="67"/>
      <c r="K136" s="67"/>
      <c r="L136" s="532" t="str">
        <f ca="1">IFERROR(IF(ABS(H136)/H137&gt;0.1,"Individuelle Anpassung bei C5) 'abgabepflichtig' auffällig hoch. ",""),"")</f>
        <v/>
      </c>
    </row>
    <row r="137" spans="1:15" ht="17.850000000000001" customHeight="1" x14ac:dyDescent="0.45">
      <c r="A137" s="1856" t="s">
        <v>209</v>
      </c>
      <c r="B137" s="1857"/>
      <c r="C137" s="1857"/>
      <c r="D137" s="1857"/>
      <c r="E137" s="1857"/>
      <c r="F137" s="1858"/>
      <c r="G137" s="207">
        <f ca="1">SUM(G133:G136)</f>
        <v>36.840000000000003</v>
      </c>
      <c r="H137" s="163">
        <f ca="1">SUM(H133:H136)</f>
        <v>47.19</v>
      </c>
      <c r="I137" s="1127"/>
      <c r="J137" s="67"/>
      <c r="K137" s="67"/>
      <c r="L137" s="532" t="str">
        <f ca="1">IFERROR(IF(Projekt!G137&gt;Stammdaten!B97*4.5,"Nicht abgabepflichtige Personalkosten (C5) erscheinen hoch; bitte die Beitragsfreiheit pro Tag beachten. ",""),"")</f>
        <v/>
      </c>
    </row>
    <row r="138" spans="1:15" ht="17.850000000000001" customHeight="1" x14ac:dyDescent="0.45">
      <c r="A138" s="1643" t="str">
        <f ca="1">"C) abgabefreie Kosten pro Std (K3 Zeile 11) bei "&amp;TEXT(C158,"0,00")&amp;" Std/Wo:"</f>
        <v>C) abgabefreie Kosten pro Std (K3 Zeile 11) bei 39,00 Std/Wo:</v>
      </c>
      <c r="B138" s="1644"/>
      <c r="C138" s="1644"/>
      <c r="D138" s="1644"/>
      <c r="E138" s="1644"/>
      <c r="F138" s="1644"/>
      <c r="G138" s="1043">
        <f ca="1">G137/C158</f>
        <v>0.94</v>
      </c>
      <c r="H138" s="1040"/>
      <c r="I138" s="1123"/>
      <c r="J138" s="67"/>
      <c r="K138" s="67"/>
      <c r="L138" s="914"/>
    </row>
    <row r="139" spans="1:15" ht="17.850000000000001" customHeight="1" x14ac:dyDescent="0.45">
      <c r="A139" s="1645" t="str">
        <f ca="1">"C) abgabepflichtige Kosten pro Std (K3 Zeile 9) bei "&amp;TEXT(C158,"0,00")&amp;" Std/Wo:"</f>
        <v>C) abgabepflichtige Kosten pro Std (K3 Zeile 9) bei 39,00 Std/Wo:</v>
      </c>
      <c r="B139" s="1646"/>
      <c r="C139" s="1646"/>
      <c r="D139" s="1646"/>
      <c r="E139" s="1646"/>
      <c r="F139" s="1646"/>
      <c r="G139" s="1041"/>
      <c r="H139" s="1042">
        <f ca="1">H137/C158</f>
        <v>1.21</v>
      </c>
      <c r="I139" s="1123"/>
      <c r="J139" s="67"/>
      <c r="K139" s="67"/>
      <c r="L139" s="914"/>
    </row>
    <row r="140" spans="1:15" ht="17.850000000000001" customHeight="1" x14ac:dyDescent="0.45">
      <c r="A140" s="1060" t="s">
        <v>312</v>
      </c>
      <c r="B140" s="1061">
        <f ca="1">' K3 PP'!$O$23</f>
        <v>17</v>
      </c>
      <c r="C140" s="1060" t="s">
        <v>313</v>
      </c>
      <c r="D140" s="1061">
        <f ca="1">' K3 PP'!$O$33</f>
        <v>43</v>
      </c>
      <c r="E140" s="1062" t="s">
        <v>314</v>
      </c>
      <c r="F140" s="1061">
        <f ca="1">' K3 PP'!$O$44</f>
        <v>64</v>
      </c>
      <c r="G140" s="1060" t="s">
        <v>315</v>
      </c>
      <c r="H140" s="1063">
        <f ca="1">' K3 PP'!$Q$45</f>
        <v>64</v>
      </c>
      <c r="I140" s="1127"/>
      <c r="J140" s="67"/>
      <c r="K140" s="67"/>
      <c r="L140" s="914"/>
    </row>
    <row r="141" spans="1:15" s="88" customFormat="1" ht="17.850000000000001" customHeight="1" x14ac:dyDescent="0.45">
      <c r="A141" s="1804"/>
      <c r="B141" s="1805"/>
      <c r="C141" s="1805"/>
      <c r="D141" s="1805"/>
      <c r="E141" s="1805"/>
      <c r="F141" s="1805"/>
      <c r="G141" s="1805"/>
      <c r="H141" s="1805"/>
      <c r="I141" s="1127"/>
      <c r="J141" s="96"/>
      <c r="K141" s="96"/>
      <c r="L141" s="917"/>
      <c r="M141" s="918"/>
      <c r="N141" s="918"/>
      <c r="O141" s="919"/>
    </row>
    <row r="142" spans="1:15" s="88" customFormat="1" ht="17.850000000000001" customHeight="1" thickBot="1" x14ac:dyDescent="0.5">
      <c r="A142" s="1540" t="s">
        <v>193</v>
      </c>
      <c r="B142" s="1541"/>
      <c r="C142" s="1541"/>
      <c r="D142" s="1541"/>
      <c r="E142" s="1541"/>
      <c r="F142" s="1541"/>
      <c r="G142" s="1541"/>
      <c r="H142" s="1541"/>
      <c r="I142" s="1127"/>
      <c r="J142" s="96"/>
      <c r="K142" s="96"/>
      <c r="L142" s="917"/>
      <c r="M142" s="918"/>
      <c r="N142" s="918"/>
      <c r="O142" s="919"/>
    </row>
    <row r="143" spans="1:15" s="88" customFormat="1" ht="17.850000000000001" customHeight="1" thickBot="1" x14ac:dyDescent="0.5">
      <c r="A143" s="1863" t="s">
        <v>283</v>
      </c>
      <c r="B143" s="1864"/>
      <c r="C143" s="1864"/>
      <c r="D143" s="1864"/>
      <c r="E143" s="546" t="s">
        <v>71</v>
      </c>
      <c r="F143" s="547" t="s">
        <v>137</v>
      </c>
      <c r="G143" s="548" t="s">
        <v>211</v>
      </c>
      <c r="H143" s="608" t="s">
        <v>212</v>
      </c>
      <c r="I143" s="1123"/>
      <c r="J143" s="96"/>
      <c r="K143" s="96"/>
      <c r="L143" s="917"/>
      <c r="M143" s="918"/>
      <c r="N143" s="918"/>
      <c r="O143" s="919"/>
    </row>
    <row r="144" spans="1:15" s="88" customFormat="1" ht="17.850000000000001" customHeight="1" x14ac:dyDescent="0.45">
      <c r="A144" s="1618" t="s">
        <v>506</v>
      </c>
      <c r="B144" s="1619"/>
      <c r="C144" s="1619"/>
      <c r="D144" s="1619"/>
      <c r="E144" s="676">
        <f ca="1">F144</f>
        <v>17</v>
      </c>
      <c r="F144" s="675">
        <f ca="1">' K3 PP'!O23</f>
        <v>17</v>
      </c>
      <c r="G144" s="677">
        <f ca="1">E144/F144</f>
        <v>1</v>
      </c>
      <c r="H144" s="685" t="s">
        <v>127</v>
      </c>
      <c r="I144" s="1123"/>
      <c r="J144" s="96"/>
      <c r="K144" s="96"/>
      <c r="L144" s="917"/>
      <c r="M144" s="918"/>
      <c r="N144" s="918"/>
      <c r="O144" s="919"/>
    </row>
    <row r="145" spans="1:15" s="88" customFormat="1" ht="17.850000000000001" customHeight="1" x14ac:dyDescent="0.45">
      <c r="A145" s="1409" t="s">
        <v>507</v>
      </c>
      <c r="B145" s="1410"/>
      <c r="C145" s="1410"/>
      <c r="D145" s="1410"/>
      <c r="E145" s="678">
        <f ca="1">' K3 PP'!O23+' K3 PP'!O24</f>
        <v>19.079999999999998</v>
      </c>
      <c r="F145" s="675">
        <f ca="1">F144</f>
        <v>17</v>
      </c>
      <c r="G145" s="679">
        <f ca="1">E145/F145</f>
        <v>1.1224000000000001</v>
      </c>
      <c r="H145" s="685" t="s">
        <v>127</v>
      </c>
      <c r="I145" s="1123"/>
      <c r="J145" s="96"/>
      <c r="K145" s="96"/>
      <c r="L145" s="917"/>
      <c r="M145" s="918"/>
      <c r="N145" s="918"/>
      <c r="O145" s="919"/>
    </row>
    <row r="146" spans="1:15" s="88" customFormat="1" ht="17.850000000000001" customHeight="1" x14ac:dyDescent="0.45">
      <c r="A146" s="1409" t="s">
        <v>508</v>
      </c>
      <c r="B146" s="1410"/>
      <c r="C146" s="1410"/>
      <c r="D146" s="1410"/>
      <c r="E146" s="680">
        <f ca="1">E147</f>
        <v>19.079999999999998</v>
      </c>
      <c r="F146" s="681">
        <f ca="1">F147</f>
        <v>17</v>
      </c>
      <c r="G146" s="679">
        <f ca="1">E146/F146</f>
        <v>1.1224000000000001</v>
      </c>
      <c r="H146" s="685" t="s">
        <v>127</v>
      </c>
      <c r="I146" s="1123"/>
      <c r="J146" s="96"/>
      <c r="K146" s="96"/>
      <c r="L146" s="917"/>
      <c r="M146" s="918"/>
      <c r="N146" s="918"/>
      <c r="O146" s="919"/>
    </row>
    <row r="147" spans="1:15" s="88" customFormat="1" ht="17.850000000000001" customHeight="1" thickBot="1" x14ac:dyDescent="0.5">
      <c r="A147" s="1854" t="s">
        <v>509</v>
      </c>
      <c r="B147" s="1855"/>
      <c r="C147" s="1855"/>
      <c r="D147" s="1855"/>
      <c r="E147" s="682">
        <f ca="1">' K3 PP'!O23+' K3 PP'!O24+' K3 PP'!O25</f>
        <v>19.079999999999998</v>
      </c>
      <c r="F147" s="683">
        <f ca="1">F144</f>
        <v>17</v>
      </c>
      <c r="G147" s="684">
        <f ca="1">E147/F147</f>
        <v>1.1224000000000001</v>
      </c>
      <c r="H147" s="686">
        <v>1</v>
      </c>
      <c r="I147" s="1123"/>
      <c r="J147" s="96"/>
      <c r="K147" s="96"/>
      <c r="L147" s="917"/>
      <c r="M147" s="918"/>
      <c r="N147" s="918"/>
      <c r="O147" s="919"/>
    </row>
    <row r="148" spans="1:15" s="88" customFormat="1" ht="17.850000000000001" customHeight="1" x14ac:dyDescent="0.45">
      <c r="A148" s="1735" t="s">
        <v>103</v>
      </c>
      <c r="B148" s="1736"/>
      <c r="C148" s="1725" t="s">
        <v>478</v>
      </c>
      <c r="D148" s="1725" t="s">
        <v>480</v>
      </c>
      <c r="E148" s="1730" t="s">
        <v>569</v>
      </c>
      <c r="F148" s="1710" t="s">
        <v>211</v>
      </c>
      <c r="G148" s="1725" t="s">
        <v>213</v>
      </c>
      <c r="H148" s="1726" t="s">
        <v>638</v>
      </c>
      <c r="I148" s="1127"/>
      <c r="J148" s="96"/>
      <c r="K148" s="96"/>
      <c r="L148" s="917"/>
      <c r="M148" s="918"/>
      <c r="N148" s="918"/>
      <c r="O148" s="919"/>
    </row>
    <row r="149" spans="1:15" s="88" customFormat="1" ht="17.850000000000001" customHeight="1" x14ac:dyDescent="0.45">
      <c r="A149" s="1737"/>
      <c r="B149" s="1738"/>
      <c r="C149" s="1572"/>
      <c r="D149" s="1572"/>
      <c r="E149" s="1731"/>
      <c r="F149" s="1711"/>
      <c r="G149" s="1572"/>
      <c r="H149" s="1727"/>
      <c r="I149" s="1127"/>
      <c r="J149" s="96"/>
      <c r="K149" s="96"/>
      <c r="L149" s="917"/>
      <c r="M149" s="918"/>
      <c r="N149" s="918"/>
      <c r="O149" s="919"/>
    </row>
    <row r="150" spans="1:15" s="88" customFormat="1" ht="17.850000000000001" customHeight="1" x14ac:dyDescent="0.45">
      <c r="A150" s="1739"/>
      <c r="B150" s="1740"/>
      <c r="C150" s="1581"/>
      <c r="D150" s="1581"/>
      <c r="E150" s="1731"/>
      <c r="F150" s="1741"/>
      <c r="G150" s="1581"/>
      <c r="H150" s="1728"/>
      <c r="I150" s="1127"/>
      <c r="J150" s="96"/>
      <c r="K150" s="96"/>
      <c r="L150" s="917"/>
      <c r="M150" s="918"/>
      <c r="N150" s="918"/>
      <c r="O150" s="919"/>
    </row>
    <row r="151" spans="1:15" s="88" customFormat="1" ht="17.850000000000001" customHeight="1" thickBot="1" x14ac:dyDescent="0.5">
      <c r="A151" s="1742" t="s">
        <v>178</v>
      </c>
      <c r="B151" s="1743"/>
      <c r="C151" s="558">
        <f ca="1">Stammdaten!C37</f>
        <v>39</v>
      </c>
      <c r="D151" s="733">
        <v>0</v>
      </c>
      <c r="E151" s="1732"/>
      <c r="F151" s="955">
        <v>1</v>
      </c>
      <c r="G151" s="956">
        <v>1</v>
      </c>
      <c r="H151" s="83">
        <f ca="1">IFERROR(C151*D151*G151,"")</f>
        <v>0</v>
      </c>
      <c r="I151" s="1127"/>
      <c r="J151" s="96"/>
      <c r="K151" s="96"/>
      <c r="L151" s="917"/>
      <c r="M151" s="918"/>
      <c r="N151" s="918"/>
      <c r="O151" s="919"/>
    </row>
    <row r="152" spans="1:15" s="88" customFormat="1" ht="17.850000000000001" customHeight="1" x14ac:dyDescent="0.45">
      <c r="A152" s="1744" t="s">
        <v>231</v>
      </c>
      <c r="B152" s="1745"/>
      <c r="C152" s="1745"/>
      <c r="D152" s="92"/>
      <c r="E152" s="92"/>
      <c r="F152" s="92"/>
      <c r="G152" s="92"/>
      <c r="H152" s="92"/>
      <c r="I152" s="1127"/>
      <c r="J152" s="96"/>
      <c r="K152" s="96"/>
      <c r="L152" s="917"/>
      <c r="M152" s="918"/>
      <c r="N152" s="918"/>
      <c r="O152" s="919"/>
    </row>
    <row r="153" spans="1:15" s="88" customFormat="1" ht="17.850000000000001" customHeight="1" x14ac:dyDescent="0.45">
      <c r="A153" s="1715"/>
      <c r="B153" s="1716"/>
      <c r="C153" s="556"/>
      <c r="D153" s="952" t="str">
        <f>IF(OR(ISBLANK(A153),A153=0),"",VLOOKUP(A153,Stammdaten!A$39:C$48,3,FALSE))</f>
        <v/>
      </c>
      <c r="E153" s="464">
        <v>4</v>
      </c>
      <c r="F153" s="950">
        <f ca="1">IF(E153=1,1,IF(E153=2,(E$145/F$145),IF(OR(E153=3,E153=4),(E$147/F$147),"")))</f>
        <v>1.1224000000000001</v>
      </c>
      <c r="G153" s="951">
        <f>IF(OR(E153=1,E153=2,E153=3),VLOOKUP(Projekt!A153,Stammdaten!A$39:C$48,2,FALSE),IF(E153=4,1,""))</f>
        <v>1</v>
      </c>
      <c r="H153" s="161" t="str">
        <f ca="1">IFERROR((C153*D153*F153*G153),"")</f>
        <v/>
      </c>
      <c r="I153" s="1127"/>
      <c r="J153" s="1484" t="str">
        <f>IF(AND(ISBLANK(A153),C153&gt;0),"Eingabe vervollständigen!","")</f>
        <v/>
      </c>
      <c r="K153" s="1484"/>
      <c r="L153" s="917"/>
      <c r="M153" s="918"/>
      <c r="N153" s="918"/>
      <c r="O153" s="919"/>
    </row>
    <row r="154" spans="1:15" s="88" customFormat="1" ht="17.850000000000001" customHeight="1" x14ac:dyDescent="0.45">
      <c r="A154" s="1715"/>
      <c r="B154" s="1716"/>
      <c r="C154" s="556"/>
      <c r="D154" s="952" t="str">
        <f>IF(OR(ISBLANK(A154),A154=0),"",VLOOKUP(A154,Stammdaten!A$39:C$48,3,FALSE))</f>
        <v/>
      </c>
      <c r="E154" s="464"/>
      <c r="F154" s="950" t="str">
        <f>IF(E154=1,1,IF(E154=2,(E$145/F$145),IF(OR(E154=3,E154=4),(E$147/F$147),"")))</f>
        <v/>
      </c>
      <c r="G154" s="951" t="str">
        <f>IF(OR(E154=1,E154=2,E154=3),VLOOKUP(Projekt!A154,Stammdaten!A$39:C$48,2,FALSE),IF(E154=4,1,""))</f>
        <v/>
      </c>
      <c r="H154" s="161" t="str">
        <f>IFERROR((C154*D154*F154*G154),"")</f>
        <v/>
      </c>
      <c r="I154" s="1127"/>
      <c r="J154" s="1484" t="str">
        <f>IF(AND(ISBLANK(A154),C154&gt;0),"Eingabe vervollständigen!","")</f>
        <v/>
      </c>
      <c r="K154" s="1484"/>
      <c r="L154" s="917"/>
      <c r="M154" s="918"/>
      <c r="N154" s="918"/>
      <c r="O154" s="919"/>
    </row>
    <row r="155" spans="1:15" s="88" customFormat="1" ht="17.850000000000001" customHeight="1" x14ac:dyDescent="0.45">
      <c r="A155" s="1715"/>
      <c r="B155" s="1716"/>
      <c r="C155" s="556"/>
      <c r="D155" s="952" t="str">
        <f>IF(OR(ISBLANK(A155),A155=0),"",VLOOKUP(A155,Stammdaten!A$39:C$48,3,FALSE))</f>
        <v/>
      </c>
      <c r="E155" s="464"/>
      <c r="F155" s="950" t="str">
        <f>IF(E155=1,1,IF(E155=2,(E$145/F$145),IF(OR(E155=3,E155=4),(E$147/F$147),"")))</f>
        <v/>
      </c>
      <c r="G155" s="951" t="str">
        <f>IF(OR(E155=1,E155=2,E155=3),VLOOKUP(Projekt!A155,Stammdaten!A$39:C$48,2,FALSE),IF(E155=4,1,""))</f>
        <v/>
      </c>
      <c r="H155" s="161" t="str">
        <f>IFERROR((C155*D155*F155*G155),"")</f>
        <v/>
      </c>
      <c r="I155" s="1127"/>
      <c r="J155" s="1484" t="str">
        <f>IF(AND(ISBLANK(A155),C155&gt;0),"Eingabe vervollständigen!","")</f>
        <v/>
      </c>
      <c r="K155" s="1484"/>
      <c r="L155" s="917"/>
      <c r="M155" s="918"/>
      <c r="N155" s="918"/>
      <c r="O155" s="919"/>
    </row>
    <row r="156" spans="1:15" s="88" customFormat="1" ht="17.850000000000001" customHeight="1" x14ac:dyDescent="0.45">
      <c r="A156" s="1715"/>
      <c r="B156" s="1716"/>
      <c r="C156" s="556"/>
      <c r="D156" s="952" t="str">
        <f>IF(OR(ISBLANK(A156),A156=0),"",VLOOKUP(A156,Stammdaten!A$39:C$48,3,FALSE))</f>
        <v/>
      </c>
      <c r="E156" s="464"/>
      <c r="F156" s="950" t="str">
        <f>IF(E156=1,1,IF(E156=2,(E$145/F$145),IF(OR(E156=3,E156=4),(E$147/F$147),"")))</f>
        <v/>
      </c>
      <c r="G156" s="951" t="str">
        <f>IF(OR(E156=1,E156=2,E156=3),VLOOKUP(Projekt!A156,Stammdaten!A$39:C$48,2,FALSE),IF(E156=4,1,""))</f>
        <v/>
      </c>
      <c r="H156" s="161" t="str">
        <f>IFERROR((C156*D156*F156*G156),"")</f>
        <v/>
      </c>
      <c r="I156" s="1127"/>
      <c r="J156" s="1484" t="str">
        <f>IF(AND(ISBLANK(A156),C156&gt;0),"Eingabe vervollständigen!","")</f>
        <v/>
      </c>
      <c r="K156" s="1484"/>
      <c r="L156" s="917"/>
      <c r="M156" s="918"/>
      <c r="N156" s="918"/>
      <c r="O156" s="919"/>
    </row>
    <row r="157" spans="1:15" s="88" customFormat="1" ht="17.850000000000001" customHeight="1" thickBot="1" x14ac:dyDescent="0.5">
      <c r="A157" s="1713"/>
      <c r="B157" s="1714"/>
      <c r="C157" s="557"/>
      <c r="D157" s="952" t="str">
        <f>IF(OR(ISBLANK(A157),A157=0),"",VLOOKUP(A157,Stammdaten!A$39:C$48,3,FALSE))</f>
        <v/>
      </c>
      <c r="E157" s="465"/>
      <c r="F157" s="953" t="str">
        <f>IF(E157=1,1,IF(E157=2,(E$145/F$145),IF(OR(E157=3,E157=4),(E$147/F$147),"")))</f>
        <v/>
      </c>
      <c r="G157" s="954" t="str">
        <f>IF(OR(E157=1,E157=2,E157=3),VLOOKUP(Projekt!A157,Stammdaten!A$39:C$48,2,FALSE),IF(E157=4,1,""))</f>
        <v/>
      </c>
      <c r="H157" s="161" t="str">
        <f>IFERROR((C157*D157*F157*G157),"")</f>
        <v/>
      </c>
      <c r="I157" s="1127"/>
      <c r="J157" s="1484" t="str">
        <f>IF(AND(ISBLANK(A157),C157&gt;0),"Eingabe vervollständigen!","")</f>
        <v/>
      </c>
      <c r="K157" s="1484"/>
      <c r="L157" s="917"/>
      <c r="M157" s="918"/>
      <c r="N157" s="918"/>
      <c r="O157" s="919"/>
    </row>
    <row r="158" spans="1:15" s="88" customFormat="1" ht="17.850000000000001" customHeight="1" thickBot="1" x14ac:dyDescent="0.5">
      <c r="A158" s="1733" t="s">
        <v>210</v>
      </c>
      <c r="B158" s="1734"/>
      <c r="C158" s="558">
        <f ca="1">C151+SUM(C153:C157)</f>
        <v>39</v>
      </c>
      <c r="D158" s="1723" t="s">
        <v>477</v>
      </c>
      <c r="E158" s="1723"/>
      <c r="F158" s="1723"/>
      <c r="G158" s="1724"/>
      <c r="H158" s="165"/>
      <c r="I158" s="1127"/>
      <c r="J158" s="96"/>
      <c r="K158" s="96"/>
      <c r="L158" s="534" t="str">
        <f ca="1">IF(C158&gt;48,"Wochenarbeitszeit (D1) über 48 Stunden!","")</f>
        <v/>
      </c>
      <c r="M158" s="918"/>
      <c r="N158" s="918"/>
      <c r="O158" s="919"/>
    </row>
    <row r="159" spans="1:15" s="88" customFormat="1" ht="17.850000000000001" customHeight="1" x14ac:dyDescent="0.45">
      <c r="A159" s="1717" t="s">
        <v>657</v>
      </c>
      <c r="B159" s="1718"/>
      <c r="C159" s="1725" t="s">
        <v>179</v>
      </c>
      <c r="D159" s="1725" t="s">
        <v>480</v>
      </c>
      <c r="E159" s="1725" t="s">
        <v>570</v>
      </c>
      <c r="F159" s="1710" t="s">
        <v>211</v>
      </c>
      <c r="G159" s="1725" t="s">
        <v>213</v>
      </c>
      <c r="H159" s="165"/>
      <c r="I159" s="1127"/>
      <c r="J159" s="96"/>
      <c r="K159" s="96"/>
      <c r="L159" s="917"/>
      <c r="M159" s="918"/>
      <c r="N159" s="918"/>
      <c r="O159" s="919"/>
    </row>
    <row r="160" spans="1:15" s="88" customFormat="1" ht="17.850000000000001" customHeight="1" x14ac:dyDescent="0.45">
      <c r="A160" s="1591"/>
      <c r="B160" s="1592"/>
      <c r="C160" s="1572"/>
      <c r="D160" s="1572"/>
      <c r="E160" s="1572"/>
      <c r="F160" s="1711"/>
      <c r="G160" s="1572"/>
      <c r="H160" s="165"/>
      <c r="I160" s="1127"/>
      <c r="J160" s="96"/>
      <c r="K160" s="96"/>
      <c r="L160" s="917"/>
      <c r="M160" s="918"/>
      <c r="N160" s="918"/>
      <c r="O160" s="919"/>
    </row>
    <row r="161" spans="1:15" s="88" customFormat="1" ht="17.850000000000001" customHeight="1" thickBot="1" x14ac:dyDescent="0.5">
      <c r="A161" s="1719"/>
      <c r="B161" s="1720"/>
      <c r="C161" s="1691"/>
      <c r="D161" s="1691"/>
      <c r="E161" s="1691"/>
      <c r="F161" s="1712"/>
      <c r="G161" s="1691"/>
      <c r="H161" s="165"/>
      <c r="I161" s="1127"/>
      <c r="J161" s="96"/>
      <c r="K161" s="96"/>
      <c r="L161" s="917"/>
      <c r="M161" s="918"/>
      <c r="N161" s="918"/>
      <c r="O161" s="919"/>
    </row>
    <row r="162" spans="1:15" s="88" customFormat="1" ht="17.850000000000001" customHeight="1" x14ac:dyDescent="0.45">
      <c r="A162" s="1721"/>
      <c r="B162" s="1722"/>
      <c r="C162" s="609"/>
      <c r="D162" s="947">
        <f ca="1">IFERROR(VLOOKUP(A162,Stammdaten!A$50:C$54,3,FALSE),"")</f>
        <v>0</v>
      </c>
      <c r="E162" s="466"/>
      <c r="F162" s="948" t="str">
        <f>IF(E162=1,1,IF(E162=2,(E$145/F$145),IF(OR(E162=3,E162=4),(E$147/F$147),"")))</f>
        <v/>
      </c>
      <c r="G162" s="949" t="str">
        <f>IF(OR(E162=1,E162=2,E162=3),VLOOKUP(Projekt!A162,Stammdaten!A$50:C$54,2,FALSE),IF(E162=4,1,""))</f>
        <v/>
      </c>
      <c r="H162" s="161" t="str">
        <f ca="1">IFERROR((C162*D162*F162*G162),"")</f>
        <v/>
      </c>
      <c r="I162" s="1127"/>
      <c r="J162" s="1484" t="str">
        <f>IF(AND(ISBLANK(A162),C162&gt;0),"Eingabe vervollständigen!","")</f>
        <v/>
      </c>
      <c r="K162" s="1484"/>
      <c r="L162" s="917"/>
      <c r="M162" s="918"/>
      <c r="N162" s="918"/>
      <c r="O162" s="919"/>
    </row>
    <row r="163" spans="1:15" s="88" customFormat="1" ht="17.850000000000001" customHeight="1" x14ac:dyDescent="0.45">
      <c r="A163" s="1708"/>
      <c r="B163" s="1709"/>
      <c r="C163" s="556"/>
      <c r="D163" s="947">
        <f ca="1">IFERROR(VLOOKUP(A163,Stammdaten!A$50:C$54,3,FALSE),"")</f>
        <v>0</v>
      </c>
      <c r="E163" s="464"/>
      <c r="F163" s="950" t="str">
        <f>IF(E163=1,1,IF(E163=2,(E$145/F$145),IF(OR(E163=3,E163=4),(E$147/F$147),"")))</f>
        <v/>
      </c>
      <c r="G163" s="951" t="str">
        <f>IF(OR(E163=1,E163=2,E163=3),VLOOKUP(Projekt!A163,Stammdaten!A$50:C$54,2,FALSE),IF(E163=4,1,""))</f>
        <v/>
      </c>
      <c r="H163" s="161" t="str">
        <f ca="1">IFERROR((C163*D163*F163*G163),"")</f>
        <v/>
      </c>
      <c r="I163" s="1127"/>
      <c r="J163" s="1484" t="str">
        <f>IF(AND(ISBLANK(A163),C163&gt;0),"Eingabe vervollständigen!","")</f>
        <v/>
      </c>
      <c r="K163" s="1484"/>
      <c r="L163" s="917"/>
      <c r="M163" s="918"/>
      <c r="N163" s="918"/>
      <c r="O163" s="919"/>
    </row>
    <row r="164" spans="1:15" s="88" customFormat="1" ht="17.850000000000001" customHeight="1" x14ac:dyDescent="0.45">
      <c r="A164" s="1708"/>
      <c r="B164" s="1729"/>
      <c r="C164" s="556"/>
      <c r="D164" s="947">
        <f ca="1">IFERROR(VLOOKUP(A164,Stammdaten!A$50:C$54,3,FALSE),"")</f>
        <v>0</v>
      </c>
      <c r="E164" s="467"/>
      <c r="F164" s="950" t="str">
        <f>IF(E164=1,1,IF(E164=2,(E$145/F$145),IF(OR(E164=3,E164=4),(E$147/F$147),"")))</f>
        <v/>
      </c>
      <c r="G164" s="951" t="str">
        <f>IF(OR(E164=1,E164=2,E164=3),VLOOKUP(Projekt!A164,Stammdaten!A$50:C$54,2,FALSE),IF(E164=4,1,""))</f>
        <v/>
      </c>
      <c r="H164" s="161" t="str">
        <f ca="1">IFERROR((C164*D164*F164*G164),"")</f>
        <v/>
      </c>
      <c r="I164" s="1127"/>
      <c r="J164" s="1484" t="str">
        <f>IF(AND(ISBLANK(A164),C164&gt;0),"Eingabe vervollständigen!","")</f>
        <v/>
      </c>
      <c r="K164" s="1484"/>
      <c r="L164" s="917"/>
      <c r="M164" s="918"/>
      <c r="N164" s="918"/>
      <c r="O164" s="919"/>
    </row>
    <row r="165" spans="1:15" s="88" customFormat="1" ht="17.850000000000001" customHeight="1" x14ac:dyDescent="0.45">
      <c r="A165" s="1589" t="s">
        <v>510</v>
      </c>
      <c r="B165" s="1590"/>
      <c r="C165" s="1571" t="s">
        <v>179</v>
      </c>
      <c r="D165" s="1571" t="s">
        <v>479</v>
      </c>
      <c r="E165" s="276"/>
      <c r="F165" s="1834" t="s">
        <v>571</v>
      </c>
      <c r="G165" s="1834" t="s">
        <v>572</v>
      </c>
      <c r="H165" s="1689"/>
      <c r="I165" s="1127"/>
      <c r="J165" s="96"/>
      <c r="K165" s="96"/>
      <c r="L165" s="917"/>
      <c r="M165" s="918"/>
      <c r="N165" s="918"/>
      <c r="O165" s="919"/>
    </row>
    <row r="166" spans="1:15" s="88" customFormat="1" ht="17.850000000000001" customHeight="1" x14ac:dyDescent="0.45">
      <c r="A166" s="1591"/>
      <c r="B166" s="1592"/>
      <c r="C166" s="1572"/>
      <c r="D166" s="1572"/>
      <c r="E166" s="277"/>
      <c r="F166" s="1835"/>
      <c r="G166" s="1835"/>
      <c r="H166" s="1690"/>
      <c r="I166" s="1127"/>
      <c r="J166" s="96"/>
      <c r="K166" s="96"/>
      <c r="L166" s="917"/>
      <c r="M166" s="918"/>
      <c r="N166" s="918"/>
      <c r="O166" s="919"/>
    </row>
    <row r="167" spans="1:15" s="88" customFormat="1" ht="17.850000000000001" customHeight="1" thickBot="1" x14ac:dyDescent="0.5">
      <c r="A167" s="1719"/>
      <c r="B167" s="1720"/>
      <c r="C167" s="1691"/>
      <c r="D167" s="1691"/>
      <c r="E167" s="278"/>
      <c r="F167" s="1836"/>
      <c r="G167" s="1836"/>
      <c r="H167" s="1690"/>
      <c r="I167" s="1127"/>
      <c r="J167" s="96"/>
      <c r="K167" s="96"/>
      <c r="L167" s="917"/>
      <c r="M167" s="918"/>
      <c r="N167" s="918"/>
      <c r="O167" s="919"/>
    </row>
    <row r="168" spans="1:15" s="88" customFormat="1" ht="17.850000000000001" customHeight="1" x14ac:dyDescent="0.45">
      <c r="A168" s="1865"/>
      <c r="B168" s="1866"/>
      <c r="C168" s="556"/>
      <c r="D168" s="940">
        <f ca="1">IFERROR(VLOOKUP(A168,Stammdaten!A$56:B$60,2,FALSE),"")</f>
        <v>0</v>
      </c>
      <c r="E168" s="275"/>
      <c r="F168" s="943" t="str">
        <f>IF(OR(A168="",A168=0),"",' K3 PP'!O$21)</f>
        <v/>
      </c>
      <c r="G168" s="944" t="str">
        <f ca="1">IFERROR(D168/F168,"")</f>
        <v/>
      </c>
      <c r="H168" s="687" t="str">
        <f ca="1">IFERROR(C168*G168,"")</f>
        <v/>
      </c>
      <c r="I168" s="1127"/>
      <c r="J168" s="1484" t="str">
        <f>IF(AND(ISBLANK(A168),C168&gt;0),"Eingabe vervollständigen!","")</f>
        <v/>
      </c>
      <c r="K168" s="1484"/>
      <c r="L168" s="917"/>
      <c r="M168" s="918"/>
      <c r="N168" s="918"/>
      <c r="O168" s="919"/>
    </row>
    <row r="169" spans="1:15" s="88" customFormat="1" ht="17.850000000000001" customHeight="1" x14ac:dyDescent="0.45">
      <c r="A169" s="1943"/>
      <c r="B169" s="1944"/>
      <c r="C169" s="556"/>
      <c r="D169" s="941">
        <f ca="1">IFERROR(VLOOKUP(A169,Stammdaten!A$56:B$60,2,FALSE),"")</f>
        <v>0</v>
      </c>
      <c r="E169" s="202"/>
      <c r="F169" s="943" t="str">
        <f>IF(OR(A169="",A169=0),"",' K3 PP'!O$21)</f>
        <v/>
      </c>
      <c r="G169" s="945" t="str">
        <f ca="1">IFERROR(D169/F169,"")</f>
        <v/>
      </c>
      <c r="H169" s="687" t="str">
        <f ca="1">IFERROR(C169*G169,"")</f>
        <v/>
      </c>
      <c r="I169" s="1127"/>
      <c r="J169" s="1484" t="str">
        <f>IF(AND(ISBLANK(A169),C169&gt;0),"Eingabe vervollständigen!","")</f>
        <v/>
      </c>
      <c r="K169" s="1484"/>
      <c r="L169" s="917"/>
      <c r="M169" s="918"/>
      <c r="N169" s="918"/>
      <c r="O169" s="919"/>
    </row>
    <row r="170" spans="1:15" s="88" customFormat="1" ht="17.850000000000001" customHeight="1" thickBot="1" x14ac:dyDescent="0.5">
      <c r="A170" s="1936"/>
      <c r="B170" s="1937"/>
      <c r="C170" s="557"/>
      <c r="D170" s="942">
        <f ca="1">IFERROR(VLOOKUP(A170,Stammdaten!A$56:B$60,2,FALSE),"")</f>
        <v>0</v>
      </c>
      <c r="E170" s="208"/>
      <c r="F170" s="943" t="str">
        <f>IF(OR(A170="",A170=0),"",' K3 PP'!O$21)</f>
        <v/>
      </c>
      <c r="G170" s="946" t="str">
        <f ca="1">IFERROR(D170/F170,"")</f>
        <v/>
      </c>
      <c r="H170" s="688" t="str">
        <f ca="1">IFERROR(C170*G170,"")</f>
        <v/>
      </c>
      <c r="I170" s="1127"/>
      <c r="J170" s="1484" t="str">
        <f>IF(AND(ISBLANK(A170),C170&gt;0),"Eingabe vervollständigen!","")</f>
        <v/>
      </c>
      <c r="K170" s="1484"/>
      <c r="L170" s="917"/>
      <c r="M170" s="918"/>
      <c r="N170" s="918"/>
      <c r="O170" s="919"/>
    </row>
    <row r="171" spans="1:15" s="88" customFormat="1" ht="17.850000000000001" customHeight="1" x14ac:dyDescent="0.45">
      <c r="A171" s="1667"/>
      <c r="B171" s="1668"/>
      <c r="C171" s="1668"/>
      <c r="D171" s="1668"/>
      <c r="E171" s="1669"/>
      <c r="F171" s="1938" t="s">
        <v>544</v>
      </c>
      <c r="G171" s="1939"/>
      <c r="H171" s="965">
        <f ca="1">SUM(H151:H170)</f>
        <v>0</v>
      </c>
      <c r="I171" s="1127"/>
      <c r="J171" s="96"/>
      <c r="K171" s="96"/>
      <c r="L171" s="917"/>
      <c r="M171" s="918"/>
      <c r="N171" s="918"/>
      <c r="O171" s="919"/>
    </row>
    <row r="172" spans="1:15" s="88" customFormat="1" ht="17.850000000000001" customHeight="1" x14ac:dyDescent="0.45">
      <c r="A172" s="1704" t="str">
        <f ca="1">"Bei "&amp;C158&amp;" Std/Wo:"</f>
        <v>Bei 39 Std/Wo:</v>
      </c>
      <c r="B172" s="1705"/>
      <c r="C172" s="1044">
        <f ca="1">H171/C158</f>
        <v>0</v>
      </c>
      <c r="D172" s="1706" t="s">
        <v>573</v>
      </c>
      <c r="E172" s="1707"/>
      <c r="F172" s="1707"/>
      <c r="G172" s="1192"/>
      <c r="H172" s="1045">
        <f ca="1">C172+G172</f>
        <v>0</v>
      </c>
      <c r="I172" s="1129" t="str">
        <f>IF(G172&lt;&gt;0,"X","")</f>
        <v/>
      </c>
      <c r="J172" s="96"/>
      <c r="K172" s="96"/>
      <c r="L172" s="917"/>
      <c r="M172" s="918"/>
      <c r="N172" s="918"/>
      <c r="O172" s="919"/>
    </row>
    <row r="173" spans="1:15" s="88" customFormat="1" ht="17.850000000000001" customHeight="1" x14ac:dyDescent="0.45">
      <c r="A173" s="106" t="str">
        <f ca="1">"D) Arbeitszeitzuschläge (K3 Zeile 8: € "&amp;TEXT(' K3 PP'!O26,"0,00")&amp;") in %:"</f>
        <v>D) Arbeitszeitzuschläge (K3 Zeile 8: € 0,00) in %:</v>
      </c>
      <c r="B173" s="963"/>
      <c r="C173" s="963"/>
      <c r="D173" s="1046"/>
      <c r="E173" s="963"/>
      <c r="F173" s="963"/>
      <c r="G173" s="963"/>
      <c r="H173" s="1039">
        <f ca="1">C172+G172</f>
        <v>0</v>
      </c>
      <c r="I173" s="1123"/>
      <c r="J173" s="96"/>
      <c r="K173" s="96"/>
      <c r="L173" s="917"/>
      <c r="M173" s="918"/>
      <c r="N173" s="918"/>
      <c r="O173" s="919"/>
    </row>
    <row r="174" spans="1:15" s="88" customFormat="1" ht="17.850000000000001" customHeight="1" x14ac:dyDescent="0.45">
      <c r="A174" s="1060" t="s">
        <v>312</v>
      </c>
      <c r="B174" s="1061">
        <f ca="1">' K3 PP'!$O$23</f>
        <v>17</v>
      </c>
      <c r="C174" s="1060" t="s">
        <v>313</v>
      </c>
      <c r="D174" s="1061">
        <f ca="1">' K3 PP'!$O$33</f>
        <v>43</v>
      </c>
      <c r="E174" s="1062" t="s">
        <v>314</v>
      </c>
      <c r="F174" s="1061">
        <f ca="1">' K3 PP'!$O$44</f>
        <v>64</v>
      </c>
      <c r="G174" s="1060" t="s">
        <v>315</v>
      </c>
      <c r="H174" s="1063">
        <f ca="1">' K3 PP'!$Q$45</f>
        <v>64</v>
      </c>
      <c r="I174" s="1127"/>
      <c r="J174" s="96"/>
      <c r="K174" s="96"/>
      <c r="L174" s="917"/>
      <c r="M174" s="918"/>
      <c r="N174" s="918"/>
      <c r="O174" s="919"/>
    </row>
    <row r="175" spans="1:15" s="88" customFormat="1" ht="17.850000000000001" customHeight="1" x14ac:dyDescent="0.45">
      <c r="A175" s="1804"/>
      <c r="B175" s="1805"/>
      <c r="C175" s="1805"/>
      <c r="D175" s="1805"/>
      <c r="E175" s="1805"/>
      <c r="F175" s="1805"/>
      <c r="G175" s="1805"/>
      <c r="H175" s="1805"/>
      <c r="I175" s="1127"/>
      <c r="J175" s="96"/>
      <c r="K175" s="96"/>
      <c r="L175" s="917"/>
      <c r="M175" s="918"/>
      <c r="N175" s="918"/>
      <c r="O175" s="919"/>
    </row>
    <row r="176" spans="1:15" ht="17.850000000000001" customHeight="1" x14ac:dyDescent="0.45">
      <c r="A176" s="1598" t="s">
        <v>639</v>
      </c>
      <c r="B176" s="1634"/>
      <c r="C176" s="1634"/>
      <c r="D176" s="1634"/>
      <c r="E176" s="1634"/>
      <c r="F176" s="1634"/>
      <c r="G176" s="1634"/>
      <c r="H176" s="1634"/>
      <c r="I176" s="1127"/>
      <c r="J176" s="67"/>
      <c r="K176" s="67"/>
      <c r="L176" s="914"/>
    </row>
    <row r="177" spans="1:12" ht="17.850000000000001" customHeight="1" x14ac:dyDescent="0.45">
      <c r="A177" s="1628" t="s">
        <v>511</v>
      </c>
      <c r="B177" s="1629"/>
      <c r="C177" s="1629"/>
      <c r="D177" s="1629"/>
      <c r="E177" s="1629"/>
      <c r="F177" s="1629"/>
      <c r="G177" s="1629"/>
      <c r="H177" s="327">
        <f ca="1">Stammdaten!B147</f>
        <v>0.28110000000000002</v>
      </c>
      <c r="I177" s="1127"/>
      <c r="J177" s="67"/>
      <c r="K177" s="67"/>
      <c r="L177" s="914"/>
    </row>
    <row r="178" spans="1:12" ht="17.850000000000001" customHeight="1" thickBot="1" x14ac:dyDescent="0.5">
      <c r="A178" s="1694" t="s">
        <v>215</v>
      </c>
      <c r="B178" s="1695"/>
      <c r="C178" s="1695"/>
      <c r="D178" s="1695"/>
      <c r="E178" s="1695"/>
      <c r="F178" s="1695"/>
      <c r="G178" s="1695"/>
      <c r="H178" s="1193"/>
      <c r="I178" s="1129" t="str">
        <f>IF(H178&lt;&gt;0,"X","")</f>
        <v/>
      </c>
      <c r="J178" s="67"/>
      <c r="K178" s="67"/>
      <c r="L178" s="532" t="str">
        <f ca="1">IFERROR(IF(ABS(H178)/H177&gt;0.1,"Individuelle Anpassung bei E1) auffällig hoch. ",""),"")</f>
        <v/>
      </c>
    </row>
    <row r="179" spans="1:12" ht="17.850000000000001" customHeight="1" x14ac:dyDescent="0.45">
      <c r="A179" s="1673" t="str">
        <f ca="1">"E1) Direkte Personalnebenkosten (K3 Zeile 12: € "&amp;TEXT(' K3 PP'!O30,"0,00")&amp;") in %:"</f>
        <v>E1) Direkte Personalnebenkosten (K3 Zeile 12: € 5,62) in %:</v>
      </c>
      <c r="B179" s="1674"/>
      <c r="C179" s="1674"/>
      <c r="D179" s="1674"/>
      <c r="E179" s="1674"/>
      <c r="F179" s="1674"/>
      <c r="G179" s="1674"/>
      <c r="H179" s="328">
        <f ca="1">SUM(H177:H178)</f>
        <v>0.28110000000000002</v>
      </c>
      <c r="I179" s="1127"/>
      <c r="J179" s="67"/>
      <c r="K179" s="67"/>
      <c r="L179" s="914"/>
    </row>
    <row r="180" spans="1:12" ht="17.850000000000001" customHeight="1" x14ac:dyDescent="0.45">
      <c r="A180" s="196"/>
      <c r="B180" s="170"/>
      <c r="C180" s="170"/>
      <c r="D180" s="170"/>
      <c r="E180" s="170"/>
      <c r="F180" s="170"/>
      <c r="G180" s="170"/>
      <c r="H180" s="328"/>
      <c r="I180" s="1127"/>
      <c r="J180" s="67"/>
      <c r="K180" s="67"/>
      <c r="L180" s="914"/>
    </row>
    <row r="181" spans="1:12" ht="17.850000000000001" customHeight="1" x14ac:dyDescent="0.45">
      <c r="A181" s="1396" t="s">
        <v>545</v>
      </c>
      <c r="B181" s="1397"/>
      <c r="C181" s="1397"/>
      <c r="D181" s="1397"/>
      <c r="E181" s="1397"/>
      <c r="F181" s="1397"/>
      <c r="G181" s="1397"/>
      <c r="H181" s="1397"/>
      <c r="I181" s="1127"/>
      <c r="J181" s="67"/>
      <c r="K181" s="67"/>
      <c r="L181" s="914"/>
    </row>
    <row r="182" spans="1:12" ht="17.850000000000001" customHeight="1" x14ac:dyDescent="0.45">
      <c r="A182" s="1779" t="s">
        <v>512</v>
      </c>
      <c r="B182" s="1780"/>
      <c r="C182" s="1780"/>
      <c r="D182" s="1780"/>
      <c r="E182" s="1780"/>
      <c r="F182" s="297" t="s">
        <v>301</v>
      </c>
      <c r="G182" s="298" t="s">
        <v>302</v>
      </c>
      <c r="H182" s="984" t="s">
        <v>422</v>
      </c>
      <c r="I182" s="1127"/>
      <c r="J182" s="67"/>
      <c r="K182" s="67"/>
      <c r="L182" s="914"/>
    </row>
    <row r="183" spans="1:12" ht="17.850000000000001" customHeight="1" x14ac:dyDescent="0.45">
      <c r="A183" s="1670" t="s">
        <v>305</v>
      </c>
      <c r="B183" s="1671"/>
      <c r="C183" s="1671"/>
      <c r="D183" s="1671"/>
      <c r="E183" s="1671"/>
      <c r="F183" s="1671"/>
      <c r="G183" s="481" t="s">
        <v>301</v>
      </c>
      <c r="H183" s="995"/>
      <c r="I183" s="1127"/>
      <c r="J183" s="1484" t="str">
        <f>IF(ISBLANK(G183),"Ja / Nein auswählen!","")</f>
        <v/>
      </c>
      <c r="K183" s="1484"/>
      <c r="L183" s="914"/>
    </row>
    <row r="184" spans="1:12" ht="17.850000000000001" customHeight="1" thickBot="1" x14ac:dyDescent="0.5">
      <c r="A184" s="1702" t="s">
        <v>147</v>
      </c>
      <c r="B184" s="1703"/>
      <c r="C184" s="61">
        <f ca="1">' K3 PP'!P9</f>
        <v>39</v>
      </c>
      <c r="D184" s="60" t="str">
        <f>IF(G183=1," / ","")</f>
        <v/>
      </c>
      <c r="E184" s="61">
        <f ca="1">' K3 PP'!P19</f>
        <v>39</v>
      </c>
      <c r="F184" s="1825" t="s">
        <v>307</v>
      </c>
      <c r="G184" s="1825"/>
      <c r="H184" s="610">
        <f ca="1">IF(G183=F182,C184/E184,1)</f>
        <v>1</v>
      </c>
      <c r="I184" s="1127"/>
      <c r="J184" s="67"/>
      <c r="K184" s="67"/>
      <c r="L184" s="914"/>
    </row>
    <row r="185" spans="1:12" ht="17.850000000000001" customHeight="1" x14ac:dyDescent="0.45">
      <c r="A185" s="1940" t="s">
        <v>306</v>
      </c>
      <c r="B185" s="1941"/>
      <c r="C185" s="1941"/>
      <c r="D185" s="1941"/>
      <c r="E185" s="1941"/>
      <c r="F185" s="1941"/>
      <c r="G185" s="173" t="str">
        <f>(IF(AND(G186=F182,G188=F182),"Inkorrekt!",IF(OR(G186=F182,G188=F182),"Ja","Nein")))</f>
        <v>Ja</v>
      </c>
      <c r="H185" s="330"/>
      <c r="I185" s="1131"/>
      <c r="J185" s="1484" t="str">
        <f>(IF(AND(G186=F182,G188=F182),"[2a ODER 2b auf JA setzen!]",""))</f>
        <v/>
      </c>
      <c r="K185" s="1484"/>
      <c r="L185" s="914"/>
    </row>
    <row r="186" spans="1:12" ht="17.850000000000001" customHeight="1" x14ac:dyDescent="0.45">
      <c r="A186" s="1519" t="s">
        <v>640</v>
      </c>
      <c r="B186" s="1520"/>
      <c r="C186" s="1520"/>
      <c r="D186" s="1520"/>
      <c r="E186" s="1520"/>
      <c r="F186" s="1672"/>
      <c r="G186" s="480" t="s">
        <v>301</v>
      </c>
      <c r="H186" s="330"/>
      <c r="I186" s="1127"/>
      <c r="J186" s="1484" t="str">
        <f>IF(ISBLANK(G186),"Ja / Nein auswählen!","")</f>
        <v/>
      </c>
      <c r="K186" s="1484"/>
      <c r="L186" s="914"/>
    </row>
    <row r="187" spans="1:12" ht="17.850000000000001" customHeight="1" x14ac:dyDescent="0.45">
      <c r="A187" s="1700" t="s">
        <v>147</v>
      </c>
      <c r="B187" s="1701"/>
      <c r="C187" s="58">
        <f ca="1">' K3 PP'!O23</f>
        <v>17</v>
      </c>
      <c r="D187" s="1001" t="str">
        <f>IF(G186="Ja"," / ","")</f>
        <v xml:space="preserve"> / </v>
      </c>
      <c r="E187" s="58">
        <f ca="1">' K3 PP'!O28</f>
        <v>20</v>
      </c>
      <c r="F187" s="93"/>
      <c r="G187" s="296"/>
      <c r="H187" s="330">
        <f ca="1">IF(G186=F182,C187/E187,"")</f>
        <v>0.85</v>
      </c>
      <c r="I187" s="1127"/>
      <c r="J187" s="67"/>
      <c r="K187" s="67"/>
      <c r="L187" s="914"/>
    </row>
    <row r="188" spans="1:12" ht="17.850000000000001" customHeight="1" x14ac:dyDescent="0.45">
      <c r="A188" s="1519" t="s">
        <v>481</v>
      </c>
      <c r="B188" s="1520"/>
      <c r="C188" s="1520"/>
      <c r="D188" s="1520"/>
      <c r="E188" s="1520"/>
      <c r="F188" s="975"/>
      <c r="G188" s="481" t="s">
        <v>302</v>
      </c>
      <c r="H188" s="330"/>
      <c r="I188" s="1127"/>
      <c r="J188" s="1484" t="str">
        <f>IF(ISBLANK(G188),"Ja / Nein auswählen!","")</f>
        <v/>
      </c>
      <c r="K188" s="1484"/>
      <c r="L188" s="914"/>
    </row>
    <row r="189" spans="1:12" ht="17.850000000000001" customHeight="1" thickBot="1" x14ac:dyDescent="0.5">
      <c r="A189" s="1702" t="s">
        <v>147</v>
      </c>
      <c r="B189" s="1703"/>
      <c r="C189" s="59">
        <f ca="1">' K3 PP'!O28-' K3 PP'!O26</f>
        <v>20</v>
      </c>
      <c r="D189" s="60" t="str">
        <f>IF(G188="Ja"," / ","")</f>
        <v/>
      </c>
      <c r="E189" s="59">
        <f ca="1">' K3 PP'!O28</f>
        <v>20</v>
      </c>
      <c r="F189" s="94"/>
      <c r="G189" s="95"/>
      <c r="H189" s="329" t="str">
        <f>IF(G188=F182,C189/E189,"")</f>
        <v/>
      </c>
      <c r="I189" s="1127"/>
      <c r="J189" s="67"/>
      <c r="K189" s="67"/>
      <c r="L189" s="914"/>
    </row>
    <row r="190" spans="1:12" ht="17.850000000000001" customHeight="1" x14ac:dyDescent="0.45">
      <c r="A190" s="299"/>
      <c r="B190" s="300"/>
      <c r="C190" s="300"/>
      <c r="D190" s="300"/>
      <c r="E190" s="300"/>
      <c r="F190" s="1942" t="s">
        <v>308</v>
      </c>
      <c r="G190" s="1942"/>
      <c r="H190" s="611">
        <f ca="1">IF(G185="Ja",SUM(H187,H189),1)</f>
        <v>0.85</v>
      </c>
      <c r="I190" s="1131"/>
      <c r="J190" s="67"/>
      <c r="K190" s="67"/>
      <c r="L190" s="914"/>
    </row>
    <row r="191" spans="1:12" ht="17.850000000000001" customHeight="1" x14ac:dyDescent="0.45">
      <c r="A191" s="197"/>
      <c r="B191" s="96"/>
      <c r="C191" s="96"/>
      <c r="D191" s="96"/>
      <c r="E191" s="96"/>
      <c r="F191" s="96"/>
      <c r="G191" s="96"/>
      <c r="H191" s="96"/>
      <c r="I191" s="1127"/>
      <c r="J191" s="67"/>
      <c r="K191" s="67"/>
      <c r="L191" s="914"/>
    </row>
    <row r="192" spans="1:12" ht="17.850000000000001" customHeight="1" x14ac:dyDescent="0.45">
      <c r="A192" s="1347" t="s">
        <v>513</v>
      </c>
      <c r="B192" s="1348"/>
      <c r="C192" s="1349"/>
      <c r="D192" s="98" t="s">
        <v>239</v>
      </c>
      <c r="E192" s="98" t="s">
        <v>240</v>
      </c>
      <c r="F192" s="98" t="s">
        <v>241</v>
      </c>
      <c r="G192" s="98" t="s">
        <v>242</v>
      </c>
      <c r="H192" s="984" t="s">
        <v>67</v>
      </c>
      <c r="I192" s="1127"/>
      <c r="J192" s="67"/>
      <c r="K192" s="67"/>
      <c r="L192" s="914"/>
    </row>
    <row r="193" spans="1:13" ht="17.850000000000001" customHeight="1" x14ac:dyDescent="0.45">
      <c r="A193" s="1347" t="s">
        <v>148</v>
      </c>
      <c r="B193" s="1348"/>
      <c r="C193" s="1349"/>
      <c r="D193" s="99">
        <f ca="1">Stammdaten!E152</f>
        <v>0.245</v>
      </c>
      <c r="E193" s="99">
        <f ca="1">Stammdaten!E153</f>
        <v>0.14499999999999999</v>
      </c>
      <c r="F193" s="99">
        <f ca="1">Stammdaten!E154</f>
        <v>0</v>
      </c>
      <c r="G193" s="99">
        <f ca="1">Stammdaten!E155</f>
        <v>0.51</v>
      </c>
      <c r="H193" s="331">
        <f ca="1">SUM(D193:G193)</f>
        <v>0.9</v>
      </c>
      <c r="I193" s="1129" t="str">
        <f ca="1">IF(OR(Stammdaten!C152&lt;&gt;Stammdaten!E152,Stammdaten!C153&lt;&gt;Stammdaten!E153,Stammdaten!C154&lt;&gt;Stammdaten!E154,Stammdaten!C155&lt;&gt;Stammdaten!E155),"X","")</f>
        <v/>
      </c>
      <c r="J193" s="67"/>
      <c r="K193" s="67"/>
      <c r="L193" s="914"/>
    </row>
    <row r="194" spans="1:13" ht="17.850000000000001" customHeight="1" x14ac:dyDescent="0.45">
      <c r="A194" s="1628" t="s">
        <v>146</v>
      </c>
      <c r="B194" s="1629"/>
      <c r="C194" s="1630"/>
      <c r="D194" s="101"/>
      <c r="E194" s="102">
        <f ca="1">H184</f>
        <v>1</v>
      </c>
      <c r="F194" s="101"/>
      <c r="G194" s="102">
        <f ca="1">H184</f>
        <v>1</v>
      </c>
      <c r="H194" s="332"/>
      <c r="I194" s="1127"/>
      <c r="J194" s="67"/>
      <c r="K194" s="67"/>
      <c r="L194" s="914"/>
    </row>
    <row r="195" spans="1:13" ht="17.850000000000001" customHeight="1" thickBot="1" x14ac:dyDescent="0.5">
      <c r="A195" s="1694" t="s">
        <v>149</v>
      </c>
      <c r="B195" s="1695"/>
      <c r="C195" s="1945"/>
      <c r="D195" s="103"/>
      <c r="E195" s="103"/>
      <c r="F195" s="104">
        <f ca="1">H190</f>
        <v>0.85</v>
      </c>
      <c r="G195" s="104">
        <f ca="1">H190</f>
        <v>0.85</v>
      </c>
      <c r="H195" s="333"/>
      <c r="I195" s="1127"/>
      <c r="J195" s="67"/>
      <c r="K195" s="67"/>
      <c r="L195" s="914"/>
    </row>
    <row r="196" spans="1:13" ht="17.850000000000001" customHeight="1" x14ac:dyDescent="0.45">
      <c r="A196" s="1403" t="s">
        <v>26</v>
      </c>
      <c r="B196" s="1404"/>
      <c r="C196" s="1405"/>
      <c r="D196" s="76">
        <f ca="1">D193</f>
        <v>0.245</v>
      </c>
      <c r="E196" s="76">
        <f ca="1">E193*E194</f>
        <v>0.14499999999999999</v>
      </c>
      <c r="F196" s="76">
        <f ca="1">F193*F195</f>
        <v>0</v>
      </c>
      <c r="G196" s="76">
        <f ca="1">G193*G194*G195</f>
        <v>0.4335</v>
      </c>
      <c r="H196" s="334">
        <f ca="1">SUM(D196:G196)</f>
        <v>0.82350000000000001</v>
      </c>
      <c r="I196" s="1127"/>
      <c r="J196" s="67"/>
      <c r="K196" s="67"/>
      <c r="L196" s="914"/>
    </row>
    <row r="197" spans="1:13" ht="17.850000000000001" customHeight="1" thickBot="1" x14ac:dyDescent="0.5">
      <c r="A197" s="1698" t="s">
        <v>215</v>
      </c>
      <c r="B197" s="1699"/>
      <c r="C197" s="1699"/>
      <c r="D197" s="1699"/>
      <c r="E197" s="1699"/>
      <c r="F197" s="1699"/>
      <c r="G197" s="1699"/>
      <c r="H197" s="1194"/>
      <c r="I197" s="1129" t="str">
        <f>IF(H197&lt;&gt;0,"X","")</f>
        <v/>
      </c>
      <c r="J197" s="67"/>
      <c r="K197" s="67"/>
      <c r="L197" s="533" t="str">
        <f ca="1">IFERROR(IF(ABS(H197)/H196&gt;0.1,"Individuelle Anpassung bei E2) auffällig hoch. ",""),"")</f>
        <v/>
      </c>
      <c r="M197" s="911" t="s">
        <v>22</v>
      </c>
    </row>
    <row r="198" spans="1:13" ht="17.850000000000001" customHeight="1" x14ac:dyDescent="0.45">
      <c r="A198" s="1673" t="str">
        <f ca="1">"E2) Umgelegte Personalnebenkosten (K3 Zeile 13: € "&amp;TEXT(' K3 PP'!O31,"0,00")&amp;") in %:"</f>
        <v>E2) Umgelegte Personalnebenkosten (K3 Zeile 13: € 16,47) in %:</v>
      </c>
      <c r="B198" s="1674"/>
      <c r="C198" s="1674"/>
      <c r="D198" s="1674"/>
      <c r="E198" s="1674"/>
      <c r="F198" s="997"/>
      <c r="G198" s="130"/>
      <c r="H198" s="1047">
        <f ca="1">IF(AND(_Test=9,Stammdaten!F7&lt;&gt;2.1),"FEHLER!",SUM(H196:H197))</f>
        <v>0.82350000000000001</v>
      </c>
      <c r="I198" s="1127"/>
      <c r="J198" s="1475" t="str">
        <f ca="1">IF(H198="FEHLER!","Sie verwenden eine ungültige Testdatei!","")</f>
        <v/>
      </c>
      <c r="K198" s="1475"/>
      <c r="L198" s="533" t="str">
        <f ca="1">IFERROR(IF(OR(H198&lt;0.6,H198&gt;0.95),"Prüfen Sie die Plausibilität der Höhe der UMGELEGTEN PERSONALNEBENKOSTEN in Höhe von "&amp;H198*100&amp;"%",""),"")</f>
        <v/>
      </c>
      <c r="M198" s="911" t="s">
        <v>22</v>
      </c>
    </row>
    <row r="199" spans="1:13" ht="17.850000000000001" customHeight="1" x14ac:dyDescent="0.45">
      <c r="A199" s="1502"/>
      <c r="B199" s="1503"/>
      <c r="C199" s="1503"/>
      <c r="D199" s="1503"/>
      <c r="E199" s="1503"/>
      <c r="F199" s="1503"/>
      <c r="G199" s="1503"/>
      <c r="H199" s="1503"/>
      <c r="I199" s="1127"/>
      <c r="J199" s="1475"/>
      <c r="K199" s="1475"/>
      <c r="L199" s="914"/>
    </row>
    <row r="200" spans="1:13" ht="17.850000000000001" customHeight="1" x14ac:dyDescent="0.45">
      <c r="A200" s="1396" t="s">
        <v>194</v>
      </c>
      <c r="B200" s="1397"/>
      <c r="C200" s="1397"/>
      <c r="D200" s="1397"/>
      <c r="E200" s="1397"/>
      <c r="F200" s="520" t="s">
        <v>111</v>
      </c>
      <c r="G200" s="86"/>
      <c r="H200" s="1040"/>
      <c r="I200" s="1127"/>
      <c r="J200" s="67"/>
      <c r="K200" s="67"/>
      <c r="L200" s="914"/>
    </row>
    <row r="201" spans="1:13" ht="17.850000000000001" customHeight="1" x14ac:dyDescent="0.45">
      <c r="A201" s="1398"/>
      <c r="B201" s="1399"/>
      <c r="C201" s="1399"/>
      <c r="D201" s="1399"/>
      <c r="E201" s="1400"/>
      <c r="F201" s="283"/>
      <c r="G201" s="66"/>
      <c r="H201" s="1048"/>
      <c r="I201" s="1127"/>
      <c r="J201" s="67"/>
      <c r="K201" s="67"/>
      <c r="L201" s="914"/>
    </row>
    <row r="202" spans="1:13" ht="17.850000000000001" customHeight="1" thickBot="1" x14ac:dyDescent="0.5">
      <c r="A202" s="1453"/>
      <c r="B202" s="1454"/>
      <c r="C202" s="1454"/>
      <c r="D202" s="1454"/>
      <c r="E202" s="1454"/>
      <c r="F202" s="283"/>
      <c r="G202" s="66"/>
      <c r="H202" s="1048"/>
      <c r="I202" s="1127"/>
      <c r="J202" s="67"/>
      <c r="K202" s="67"/>
      <c r="L202" s="914"/>
    </row>
    <row r="203" spans="1:13" ht="17.850000000000001" customHeight="1" x14ac:dyDescent="0.45">
      <c r="A203" s="1403" t="s">
        <v>641</v>
      </c>
      <c r="B203" s="1404"/>
      <c r="C203" s="1404"/>
      <c r="D203" s="1696"/>
      <c r="E203" s="1697"/>
      <c r="F203" s="108"/>
      <c r="G203" s="66"/>
      <c r="H203" s="1048"/>
      <c r="I203" s="1127"/>
      <c r="J203" s="67"/>
      <c r="K203" s="67"/>
      <c r="L203" s="914"/>
    </row>
    <row r="204" spans="1:13" ht="17.850000000000001" customHeight="1" x14ac:dyDescent="0.45">
      <c r="A204" s="1347"/>
      <c r="B204" s="1348"/>
      <c r="C204" s="1348"/>
      <c r="D204" s="1348"/>
      <c r="E204" s="612" t="s">
        <v>108</v>
      </c>
      <c r="F204" s="108"/>
      <c r="G204" s="66"/>
      <c r="H204" s="1048"/>
      <c r="I204" s="1127"/>
      <c r="J204" s="67"/>
      <c r="K204" s="67"/>
      <c r="L204" s="914"/>
    </row>
    <row r="205" spans="1:13" ht="17.850000000000001" customHeight="1" x14ac:dyDescent="0.45">
      <c r="A205" s="1560" t="s">
        <v>658</v>
      </c>
      <c r="B205" s="1561"/>
      <c r="C205" s="1561"/>
      <c r="D205" s="1561"/>
      <c r="E205" s="613"/>
      <c r="F205" s="108"/>
      <c r="G205" s="66"/>
      <c r="H205" s="1048"/>
      <c r="I205" s="1127"/>
      <c r="J205" s="67"/>
      <c r="K205" s="67"/>
      <c r="L205" s="914"/>
    </row>
    <row r="206" spans="1:13" ht="17.850000000000001" customHeight="1" thickBot="1" x14ac:dyDescent="0.5">
      <c r="A206" s="1694" t="s">
        <v>642</v>
      </c>
      <c r="B206" s="1695"/>
      <c r="C206" s="1945"/>
      <c r="D206" s="283"/>
      <c r="E206" s="614">
        <f>D206*E205</f>
        <v>0</v>
      </c>
      <c r="F206" s="108"/>
      <c r="G206" s="66"/>
      <c r="H206" s="1048"/>
      <c r="I206" s="1127"/>
      <c r="J206" s="67"/>
      <c r="K206" s="67"/>
      <c r="L206" s="914"/>
    </row>
    <row r="207" spans="1:13" ht="17.850000000000001" customHeight="1" x14ac:dyDescent="0.45">
      <c r="A207" s="996" t="s">
        <v>102</v>
      </c>
      <c r="B207" s="997"/>
      <c r="C207" s="997"/>
      <c r="D207" s="109"/>
      <c r="E207" s="417">
        <f>SUM(E205:E206)</f>
        <v>0</v>
      </c>
      <c r="F207" s="108"/>
      <c r="G207" s="66"/>
      <c r="H207" s="1048"/>
      <c r="I207" s="1127"/>
      <c r="J207" s="67"/>
      <c r="K207" s="67"/>
      <c r="L207" s="914"/>
    </row>
    <row r="208" spans="1:13" ht="17.850000000000001" customHeight="1" x14ac:dyDescent="0.45">
      <c r="A208" s="1628" t="s">
        <v>180</v>
      </c>
      <c r="B208" s="1629"/>
      <c r="C208" s="1629"/>
      <c r="D208" s="1049">
        <f>F135</f>
        <v>5.2600000000000001E-2</v>
      </c>
      <c r="E208" s="1050">
        <f>D208*E207</f>
        <v>0</v>
      </c>
      <c r="F208" s="108"/>
      <c r="G208" s="66"/>
      <c r="H208" s="1048"/>
      <c r="I208" s="1127"/>
      <c r="J208" s="67"/>
      <c r="K208" s="67"/>
      <c r="L208" s="914"/>
    </row>
    <row r="209" spans="1:13" ht="17.850000000000001" customHeight="1" x14ac:dyDescent="0.45">
      <c r="A209" s="97" t="s">
        <v>659</v>
      </c>
      <c r="B209" s="121"/>
      <c r="C209" s="121"/>
      <c r="D209" s="121"/>
      <c r="E209" s="114">
        <f>SUM(E207:E208)</f>
        <v>0</v>
      </c>
      <c r="F209" s="108"/>
      <c r="G209" s="66"/>
      <c r="H209" s="1048"/>
      <c r="I209" s="1127"/>
      <c r="J209" s="67"/>
      <c r="K209" s="67"/>
      <c r="L209" s="914"/>
    </row>
    <row r="210" spans="1:13" ht="17.850000000000001" customHeight="1" x14ac:dyDescent="0.45">
      <c r="A210" s="1330" t="str">
        <f ca="1">"Basis ist (€ "&amp; TEXT(' K3 PP'!O28,"0,00")&amp;" x "&amp;TEXT(Projekt!C158,"0,00")&amp;" Std/Wo) € "&amp;TEXT(' K3 PP'!O28*' K3 PP'!P19,"0,00")&amp;" und daher in %"</f>
        <v>Basis ist (€ 20,00 x 39,00 Std/Wo) € 780,00 und daher in %</v>
      </c>
      <c r="B210" s="1428"/>
      <c r="C210" s="1428"/>
      <c r="D210" s="1428"/>
      <c r="E210" s="1428"/>
      <c r="F210" s="105">
        <f ca="1">E209/(' K3 PP'!O28*' K3 PP'!P19)</f>
        <v>0</v>
      </c>
      <c r="G210" s="68"/>
      <c r="H210" s="1027"/>
      <c r="I210" s="1127"/>
      <c r="J210" s="67"/>
      <c r="K210" s="67"/>
      <c r="L210" s="914"/>
    </row>
    <row r="211" spans="1:13" ht="17.850000000000001" customHeight="1" x14ac:dyDescent="0.45">
      <c r="A211" s="119" t="str">
        <f ca="1">"E3) Weitere Personalnebenkosten (K3 Zeile 14: € "&amp;TEXT(' K3 PP'!O32,"0,00")&amp;") in %:"</f>
        <v>E3) Weitere Personalnebenkosten (K3 Zeile 14: € 0,00) in %:</v>
      </c>
      <c r="B211" s="130"/>
      <c r="C211" s="130"/>
      <c r="D211" s="130"/>
      <c r="E211" s="130"/>
      <c r="F211" s="69"/>
      <c r="G211" s="865"/>
      <c r="H211" s="107">
        <f ca="1">SUM(F201:F210)</f>
        <v>0</v>
      </c>
      <c r="I211" s="1127"/>
      <c r="J211" s="67"/>
      <c r="K211" s="67"/>
      <c r="L211" s="533" t="str">
        <f ca="1">IFERROR(IF(H211&gt;0.035,"Weitere Personalnebenkosten (E3) erscheinen mit "&amp;H211*100&amp;"% hoch! ",""),"")</f>
        <v/>
      </c>
      <c r="M211" s="911" t="s">
        <v>22</v>
      </c>
    </row>
    <row r="212" spans="1:13" ht="17.850000000000001" customHeight="1" x14ac:dyDescent="0.45">
      <c r="A212" s="1064" t="s">
        <v>312</v>
      </c>
      <c r="B212" s="1065">
        <f ca="1">' K3 PP'!$O$23</f>
        <v>17</v>
      </c>
      <c r="C212" s="1064" t="s">
        <v>313</v>
      </c>
      <c r="D212" s="1065">
        <f ca="1">' K3 PP'!$O$33</f>
        <v>43</v>
      </c>
      <c r="E212" s="1066" t="s">
        <v>314</v>
      </c>
      <c r="F212" s="1065">
        <f ca="1">' K3 PP'!$O$44</f>
        <v>64</v>
      </c>
      <c r="G212" s="1064" t="s">
        <v>315</v>
      </c>
      <c r="H212" s="1067">
        <f ca="1">' K3 PP'!$Q$45</f>
        <v>64</v>
      </c>
      <c r="I212" s="1127"/>
      <c r="J212" s="67"/>
      <c r="K212" s="67"/>
      <c r="L212" s="914"/>
    </row>
    <row r="213" spans="1:13" ht="17.850000000000001" customHeight="1" x14ac:dyDescent="0.45">
      <c r="A213" s="1502"/>
      <c r="B213" s="1503"/>
      <c r="C213" s="1503"/>
      <c r="D213" s="1503"/>
      <c r="E213" s="1503"/>
      <c r="F213" s="1503"/>
      <c r="G213" s="1503"/>
      <c r="H213" s="1503"/>
      <c r="I213" s="1127"/>
      <c r="J213" s="67"/>
      <c r="K213" s="67"/>
      <c r="L213" s="914"/>
    </row>
    <row r="214" spans="1:13" ht="17.850000000000001" customHeight="1" x14ac:dyDescent="0.45">
      <c r="A214" s="1683" t="s">
        <v>651</v>
      </c>
      <c r="B214" s="1684"/>
      <c r="C214" s="1684"/>
      <c r="D214" s="1684"/>
      <c r="E214" s="1684"/>
      <c r="F214" s="1684"/>
      <c r="G214" s="1684"/>
      <c r="H214" s="1684"/>
      <c r="I214" s="1127"/>
      <c r="J214" s="67"/>
      <c r="K214" s="67"/>
      <c r="L214" s="914"/>
    </row>
    <row r="215" spans="1:13" ht="17.850000000000001" customHeight="1" thickBot="1" x14ac:dyDescent="0.5">
      <c r="A215" s="1675" t="s">
        <v>575</v>
      </c>
      <c r="B215" s="1676"/>
      <c r="C215" s="1676"/>
      <c r="D215" s="1677"/>
      <c r="E215" s="1678" t="s">
        <v>557</v>
      </c>
      <c r="F215" s="1679"/>
      <c r="G215" s="690" t="s">
        <v>574</v>
      </c>
      <c r="H215" s="691">
        <f ca="1">' K3 PP'!O33</f>
        <v>43</v>
      </c>
      <c r="I215" s="1127"/>
      <c r="J215" s="67"/>
      <c r="K215" s="67"/>
      <c r="L215" s="914"/>
    </row>
    <row r="216" spans="1:13" ht="17.850000000000001" customHeight="1" x14ac:dyDescent="0.45">
      <c r="A216" s="1680" t="s">
        <v>466</v>
      </c>
      <c r="B216" s="1681"/>
      <c r="C216" s="1681"/>
      <c r="D216" s="1681"/>
      <c r="E216" s="1682"/>
      <c r="F216" s="740">
        <v>0.05</v>
      </c>
      <c r="G216" s="1685" t="s">
        <v>626</v>
      </c>
      <c r="H216" s="1686"/>
      <c r="I216" s="1127"/>
      <c r="J216" s="1692" t="str">
        <f>IF(AND(F216&gt;0,F217&gt;0),"Sowohl in der Summenzeile als auch in Detailzeilen sind Werte eingetragen.","")</f>
        <v/>
      </c>
      <c r="K216" s="1692"/>
      <c r="L216" s="1693"/>
    </row>
    <row r="217" spans="1:13" ht="17.850000000000001" customHeight="1" x14ac:dyDescent="0.45">
      <c r="A217" s="1530" t="s">
        <v>468</v>
      </c>
      <c r="B217" s="1531"/>
      <c r="C217" s="1531"/>
      <c r="D217" s="1531"/>
      <c r="E217" s="1532"/>
      <c r="F217" s="696">
        <f>SUM(E218:E226)</f>
        <v>0</v>
      </c>
      <c r="G217" s="1687"/>
      <c r="H217" s="1688"/>
      <c r="I217" s="1127"/>
      <c r="J217" s="1692"/>
      <c r="K217" s="1692"/>
      <c r="L217" s="1693"/>
    </row>
    <row r="218" spans="1:13" ht="17.850000000000001" customHeight="1" x14ac:dyDescent="0.45">
      <c r="A218" s="1398" t="s">
        <v>459</v>
      </c>
      <c r="B218" s="1399"/>
      <c r="C218" s="1399"/>
      <c r="D218" s="1400"/>
      <c r="E218" s="740"/>
      <c r="F218" s="549"/>
      <c r="G218" s="897" t="s">
        <v>577</v>
      </c>
      <c r="H218" s="930" t="s">
        <v>301</v>
      </c>
      <c r="I218" s="1127"/>
      <c r="J218" s="67"/>
      <c r="K218" s="67"/>
      <c r="L218" s="914"/>
    </row>
    <row r="219" spans="1:13" ht="17.850000000000001" customHeight="1" x14ac:dyDescent="0.45">
      <c r="A219" s="1398" t="s">
        <v>460</v>
      </c>
      <c r="B219" s="1399"/>
      <c r="C219" s="1399"/>
      <c r="D219" s="1400"/>
      <c r="E219" s="740"/>
      <c r="F219" s="543"/>
      <c r="G219" s="1542" t="s">
        <v>613</v>
      </c>
      <c r="H219" s="1543"/>
      <c r="I219" s="1123"/>
      <c r="J219" s="67"/>
      <c r="K219" s="67"/>
      <c r="L219" s="914"/>
    </row>
    <row r="220" spans="1:13" ht="17.850000000000001" customHeight="1" x14ac:dyDescent="0.45">
      <c r="A220" s="1398" t="s">
        <v>461</v>
      </c>
      <c r="B220" s="1399"/>
      <c r="C220" s="1399"/>
      <c r="D220" s="1400"/>
      <c r="E220" s="740"/>
      <c r="F220" s="543"/>
      <c r="G220" s="904" t="s">
        <v>614</v>
      </c>
      <c r="H220" s="904" t="s">
        <v>615</v>
      </c>
      <c r="I220" s="1123"/>
      <c r="J220" s="67"/>
      <c r="K220" s="67"/>
      <c r="L220" s="914"/>
    </row>
    <row r="221" spans="1:13" ht="17.850000000000001" customHeight="1" x14ac:dyDescent="0.45">
      <c r="A221" s="1398" t="s">
        <v>486</v>
      </c>
      <c r="B221" s="1399"/>
      <c r="C221" s="1399"/>
      <c r="D221" s="1400"/>
      <c r="E221" s="740"/>
      <c r="F221" s="543"/>
      <c r="G221" s="906"/>
      <c r="H221" s="907"/>
      <c r="I221" s="1129" t="str">
        <f>IF((G221+H221)&lt;&gt;0,"X","")</f>
        <v/>
      </c>
      <c r="J221" s="67"/>
      <c r="K221" s="67"/>
      <c r="L221" s="914"/>
    </row>
    <row r="222" spans="1:13" ht="17.850000000000001" customHeight="1" x14ac:dyDescent="0.45">
      <c r="A222" s="1398" t="s">
        <v>462</v>
      </c>
      <c r="B222" s="1399"/>
      <c r="C222" s="1399"/>
      <c r="D222" s="1400"/>
      <c r="E222" s="740"/>
      <c r="F222" s="543"/>
      <c r="G222" s="692" t="s">
        <v>616</v>
      </c>
      <c r="H222" s="693">
        <f ca="1">H215*C158</f>
        <v>1677</v>
      </c>
      <c r="I222" s="1123"/>
      <c r="J222" s="67"/>
      <c r="K222" s="67"/>
      <c r="L222" s="914"/>
    </row>
    <row r="223" spans="1:13" ht="17.850000000000001" customHeight="1" x14ac:dyDescent="0.45">
      <c r="A223" s="1398" t="s">
        <v>463</v>
      </c>
      <c r="B223" s="1399"/>
      <c r="C223" s="1399"/>
      <c r="D223" s="1400"/>
      <c r="E223" s="740"/>
      <c r="F223" s="543"/>
      <c r="G223" s="895">
        <f ca="1">G221/H222</f>
        <v>0</v>
      </c>
      <c r="H223" s="895">
        <f ca="1">H221/H222</f>
        <v>0</v>
      </c>
      <c r="I223" s="1123"/>
      <c r="J223" s="67"/>
      <c r="K223" s="67"/>
      <c r="L223" s="914"/>
    </row>
    <row r="224" spans="1:13" ht="17.850000000000001" customHeight="1" x14ac:dyDescent="0.45">
      <c r="A224" s="1398"/>
      <c r="B224" s="1399"/>
      <c r="C224" s="1399"/>
      <c r="D224" s="1400"/>
      <c r="E224" s="740"/>
      <c r="F224" s="543"/>
      <c r="G224" s="689" t="s">
        <v>617</v>
      </c>
      <c r="H224" s="905">
        <f ca="1">G52</f>
        <v>5.3900000000000003E-2</v>
      </c>
      <c r="I224" s="1123"/>
      <c r="J224" s="67"/>
      <c r="K224" s="67"/>
      <c r="L224" s="914"/>
    </row>
    <row r="225" spans="1:13" ht="17.850000000000001" customHeight="1" x14ac:dyDescent="0.45">
      <c r="A225" s="1398"/>
      <c r="B225" s="1399"/>
      <c r="C225" s="1399"/>
      <c r="D225" s="1400"/>
      <c r="E225" s="740"/>
      <c r="F225" s="543"/>
      <c r="G225" s="1544" t="s">
        <v>576</v>
      </c>
      <c r="H225" s="1545"/>
      <c r="I225" s="1123"/>
      <c r="J225" s="67"/>
      <c r="K225" s="67"/>
      <c r="L225" s="914"/>
    </row>
    <row r="226" spans="1:13" ht="17.850000000000001" customHeight="1" x14ac:dyDescent="0.45">
      <c r="A226" s="1398"/>
      <c r="B226" s="1399"/>
      <c r="C226" s="1399"/>
      <c r="D226" s="1400"/>
      <c r="E226" s="740"/>
      <c r="F226" s="667"/>
      <c r="G226" s="900">
        <f ca="1">G223*(1+H224)</f>
        <v>0</v>
      </c>
      <c r="H226" s="900">
        <f ca="1">H223*(1+H224)</f>
        <v>0</v>
      </c>
      <c r="I226" s="1123"/>
      <c r="J226" s="67"/>
      <c r="K226" s="67"/>
      <c r="L226" s="914"/>
    </row>
    <row r="227" spans="1:13" ht="17.850000000000001" customHeight="1" x14ac:dyDescent="0.45">
      <c r="A227" s="1554" t="s">
        <v>467</v>
      </c>
      <c r="B227" s="1555"/>
      <c r="C227" s="1555"/>
      <c r="D227" s="1555"/>
      <c r="E227" s="1556"/>
      <c r="F227" s="741"/>
      <c r="G227" s="1528" t="s">
        <v>592</v>
      </c>
      <c r="H227" s="1529"/>
      <c r="I227" s="1123"/>
      <c r="J227" s="1692" t="str">
        <f ca="1">IF(AND(F227&gt;0,F228&gt;0),"Sowohl in der Summenzeile als auch in Detailzeilen sind Werte eingetragen.","")</f>
        <v/>
      </c>
      <c r="K227" s="1692"/>
      <c r="L227" s="1693"/>
    </row>
    <row r="228" spans="1:13" ht="17.850000000000001" customHeight="1" x14ac:dyDescent="0.45">
      <c r="A228" s="1530" t="s">
        <v>468</v>
      </c>
      <c r="B228" s="1531"/>
      <c r="C228" s="1531"/>
      <c r="D228" s="1531"/>
      <c r="E228" s="1532"/>
      <c r="F228" s="742">
        <f ca="1">SUM(E229:E237)</f>
        <v>0.13555</v>
      </c>
      <c r="G228" s="1528"/>
      <c r="H228" s="1529"/>
      <c r="I228" s="1123"/>
      <c r="J228" s="1692"/>
      <c r="K228" s="1692"/>
      <c r="L228" s="1693"/>
    </row>
    <row r="229" spans="1:13" ht="17.850000000000001" customHeight="1" x14ac:dyDescent="0.45">
      <c r="A229" s="1398" t="s">
        <v>464</v>
      </c>
      <c r="B229" s="1399"/>
      <c r="C229" s="1399"/>
      <c r="D229" s="1400"/>
      <c r="E229" s="740"/>
      <c r="F229" s="695"/>
      <c r="G229" s="1547" t="s">
        <v>578</v>
      </c>
      <c r="H229" s="1548"/>
      <c r="I229" s="1123"/>
      <c r="J229" s="67"/>
      <c r="K229" s="67"/>
      <c r="L229" s="914"/>
    </row>
    <row r="230" spans="1:13" ht="17.850000000000001" customHeight="1" x14ac:dyDescent="0.45">
      <c r="A230" s="1398" t="s">
        <v>465</v>
      </c>
      <c r="B230" s="1399"/>
      <c r="C230" s="1399"/>
      <c r="D230" s="1400"/>
      <c r="E230" s="740"/>
      <c r="F230" s="543"/>
      <c r="G230" s="903" t="s">
        <v>624</v>
      </c>
      <c r="H230" s="903" t="s">
        <v>625</v>
      </c>
      <c r="I230" s="1123"/>
      <c r="J230" s="67"/>
      <c r="K230" s="67"/>
      <c r="L230" s="914"/>
    </row>
    <row r="231" spans="1:13" ht="17.850000000000001" customHeight="1" x14ac:dyDescent="0.45">
      <c r="A231" s="1398" t="s">
        <v>618</v>
      </c>
      <c r="B231" s="1399"/>
      <c r="C231" s="1399"/>
      <c r="D231" s="1400"/>
      <c r="E231" s="740">
        <v>0.01</v>
      </c>
      <c r="F231" s="543"/>
      <c r="G231" s="908">
        <v>400</v>
      </c>
      <c r="H231" s="909"/>
      <c r="I231" s="1129" t="str">
        <f>IF((G231+H231)&lt;&gt;0,"X","")</f>
        <v>X</v>
      </c>
      <c r="J231" s="67"/>
      <c r="K231" s="67"/>
      <c r="L231" s="914"/>
    </row>
    <row r="232" spans="1:13" ht="17.850000000000001" customHeight="1" x14ac:dyDescent="0.45">
      <c r="A232" s="1398" t="s">
        <v>619</v>
      </c>
      <c r="B232" s="1399"/>
      <c r="C232" s="1399"/>
      <c r="D232" s="1400"/>
      <c r="E232" s="740"/>
      <c r="F232" s="543"/>
      <c r="G232" s="898" t="s">
        <v>579</v>
      </c>
      <c r="H232" s="899">
        <f ca="1">H222*F45</f>
        <v>3186</v>
      </c>
      <c r="I232" s="1123"/>
      <c r="J232" s="67"/>
      <c r="K232" s="67"/>
      <c r="L232" s="914"/>
    </row>
    <row r="233" spans="1:13" ht="17.850000000000001" customHeight="1" x14ac:dyDescent="0.45">
      <c r="A233" s="1398"/>
      <c r="B233" s="1399"/>
      <c r="C233" s="1399"/>
      <c r="D233" s="1400"/>
      <c r="E233" s="740"/>
      <c r="F233" s="543"/>
      <c r="G233" s="1544" t="s">
        <v>576</v>
      </c>
      <c r="H233" s="1545"/>
      <c r="I233" s="1123"/>
      <c r="J233" s="67"/>
      <c r="K233" s="67"/>
      <c r="L233" s="914"/>
    </row>
    <row r="234" spans="1:13" ht="17.850000000000001" customHeight="1" x14ac:dyDescent="0.45">
      <c r="A234" s="896" t="s">
        <v>620</v>
      </c>
      <c r="B234" s="1399"/>
      <c r="C234" s="1399"/>
      <c r="D234" s="1400"/>
      <c r="E234" s="964">
        <f ca="1">G226</f>
        <v>0</v>
      </c>
      <c r="F234" s="543"/>
      <c r="G234" s="901">
        <f ca="1">G231/H232</f>
        <v>0.12554999999999999</v>
      </c>
      <c r="H234" s="902">
        <f ca="1">H231/H232</f>
        <v>0</v>
      </c>
      <c r="I234" s="1129" t="str">
        <f ca="1">IF(E234&lt;&gt;0,"X","")</f>
        <v/>
      </c>
      <c r="J234" s="1122" t="str">
        <f ca="1">IF(AND(E234&gt;0,B234="")," Bezugstext für den %-Satz angeben!","")</f>
        <v/>
      </c>
      <c r="K234" s="67"/>
      <c r="L234" s="914"/>
    </row>
    <row r="235" spans="1:13" ht="17.850000000000001" customHeight="1" x14ac:dyDescent="0.45">
      <c r="A235" s="896" t="s">
        <v>621</v>
      </c>
      <c r="B235" s="1399"/>
      <c r="C235" s="1399"/>
      <c r="D235" s="1400"/>
      <c r="E235" s="964">
        <f ca="1">H226</f>
        <v>0</v>
      </c>
      <c r="F235" s="543"/>
      <c r="G235" s="1528" t="s">
        <v>593</v>
      </c>
      <c r="H235" s="1529"/>
      <c r="I235" s="1129" t="str">
        <f ca="1">IF(E235&lt;&gt;0,"X","")</f>
        <v/>
      </c>
      <c r="J235" s="1122" t="str">
        <f ca="1">IF(AND(E235&gt;0,B235="")," Bezugstext für den %-Satz angeben!","")</f>
        <v/>
      </c>
      <c r="K235" s="67"/>
      <c r="L235" s="922"/>
      <c r="M235" s="923"/>
    </row>
    <row r="236" spans="1:13" ht="17.850000000000001" customHeight="1" x14ac:dyDescent="0.45">
      <c r="A236" s="896" t="s">
        <v>622</v>
      </c>
      <c r="B236" s="1399" t="s">
        <v>630</v>
      </c>
      <c r="C236" s="1399"/>
      <c r="D236" s="1400"/>
      <c r="E236" s="964">
        <f ca="1">G234</f>
        <v>0.12554999999999999</v>
      </c>
      <c r="F236" s="543"/>
      <c r="G236" s="1528"/>
      <c r="H236" s="1529"/>
      <c r="I236" s="1129" t="str">
        <f ca="1">IF(E236&lt;&gt;0,"X","")</f>
        <v>X</v>
      </c>
      <c r="J236" s="1122" t="str">
        <f ca="1">IF(AND(E236&gt;0,B236="")," Bezugstext für den %-Satz angeben!","")</f>
        <v/>
      </c>
      <c r="K236" s="67"/>
      <c r="L236" s="922"/>
      <c r="M236" s="923"/>
    </row>
    <row r="237" spans="1:13" ht="17.850000000000001" customHeight="1" x14ac:dyDescent="0.45">
      <c r="A237" s="1052" t="s">
        <v>623</v>
      </c>
      <c r="B237" s="1454"/>
      <c r="C237" s="1454"/>
      <c r="D237" s="1546"/>
      <c r="E237" s="1053">
        <f ca="1">H234</f>
        <v>0</v>
      </c>
      <c r="F237" s="543"/>
      <c r="G237" s="1549"/>
      <c r="H237" s="1550"/>
      <c r="I237" s="1129" t="str">
        <f ca="1">IF(E237&lt;&gt;0,"X","")</f>
        <v/>
      </c>
      <c r="J237" s="1122" t="str">
        <f ca="1">IF(AND(E237&gt;0,B237="")," Bezugstext für den %-Satz angeben!","")</f>
        <v/>
      </c>
      <c r="K237" s="67"/>
      <c r="L237" s="924"/>
    </row>
    <row r="238" spans="1:13" ht="17.850000000000001" customHeight="1" x14ac:dyDescent="0.45">
      <c r="A238" s="1533" t="str">
        <f ca="1">"F) Summe Personalgemeinkosten (K3 Zeile 16: € "&amp;TEXT(' K3 PP'!O34,"0,00")&amp;") in %;"</f>
        <v>F) Summe Personalgemeinkosten (K3 Zeile 16: € 7,98) in %;</v>
      </c>
      <c r="B238" s="1534"/>
      <c r="C238" s="1534"/>
      <c r="D238" s="1534"/>
      <c r="E238" s="1534"/>
      <c r="F238" s="1054">
        <f ca="1">SUM(F216:F237)</f>
        <v>0.18554999999999999</v>
      </c>
      <c r="G238" s="1051"/>
      <c r="H238" s="694"/>
      <c r="I238" s="1127"/>
      <c r="J238" s="67"/>
      <c r="K238" s="67"/>
      <c r="L238" s="533" t="str">
        <f ca="1">IFERROR(IF(F238&gt;0.15,"Personalgemeinkosten (F) in Höhe von "&amp;F238*100&amp;"% kann zu Nachfrage seitens des AG führen. ",""),"")</f>
        <v xml:space="preserve">Personalgemeinkosten (F) in Höhe von 18,555% kann zu Nachfrage seitens des AG führen. </v>
      </c>
      <c r="M238" s="911" t="s">
        <v>22</v>
      </c>
    </row>
    <row r="239" spans="1:13" ht="17.850000000000001" customHeight="1" x14ac:dyDescent="0.45">
      <c r="A239" s="1060" t="s">
        <v>312</v>
      </c>
      <c r="B239" s="1061">
        <f ca="1">' K3 PP'!$O$23</f>
        <v>17</v>
      </c>
      <c r="C239" s="1060" t="s">
        <v>313</v>
      </c>
      <c r="D239" s="1061">
        <f ca="1">' K3 PP'!$O$33</f>
        <v>43</v>
      </c>
      <c r="E239" s="1062" t="s">
        <v>314</v>
      </c>
      <c r="F239" s="1061">
        <f ca="1">' K3 PP'!$O$44</f>
        <v>64</v>
      </c>
      <c r="G239" s="1064" t="s">
        <v>315</v>
      </c>
      <c r="H239" s="1067">
        <f ca="1">' K3 PP'!$Q$45</f>
        <v>64</v>
      </c>
      <c r="I239" s="1127"/>
      <c r="J239" s="67"/>
      <c r="K239" s="67"/>
      <c r="L239" s="914"/>
    </row>
    <row r="240" spans="1:13" ht="17.850000000000001" customHeight="1" x14ac:dyDescent="0.45">
      <c r="A240" s="1502"/>
      <c r="B240" s="1503"/>
      <c r="C240" s="1503"/>
      <c r="D240" s="1503"/>
      <c r="E240" s="1503"/>
      <c r="F240" s="1503"/>
      <c r="G240" s="1503"/>
      <c r="H240" s="1503"/>
      <c r="I240" s="1127"/>
      <c r="J240" s="67"/>
      <c r="K240" s="67"/>
      <c r="L240" s="914"/>
    </row>
    <row r="241" spans="1:12" ht="17.850000000000001" customHeight="1" x14ac:dyDescent="0.45">
      <c r="A241" s="1540" t="s">
        <v>653</v>
      </c>
      <c r="B241" s="1541"/>
      <c r="C241" s="1541"/>
      <c r="D241" s="1541"/>
      <c r="E241" s="1541"/>
      <c r="F241" s="1541"/>
      <c r="G241" s="1541"/>
      <c r="H241" s="1541"/>
      <c r="I241" s="1127"/>
      <c r="J241" s="67"/>
      <c r="K241" s="67"/>
      <c r="L241" s="914"/>
    </row>
    <row r="242" spans="1:12" ht="17.850000000000001" customHeight="1" x14ac:dyDescent="0.45">
      <c r="A242" s="1396" t="s">
        <v>469</v>
      </c>
      <c r="B242" s="1397"/>
      <c r="C242" s="1397"/>
      <c r="D242" s="1397"/>
      <c r="E242" s="1537"/>
      <c r="F242" s="973" t="s">
        <v>109</v>
      </c>
      <c r="G242" s="979" t="s">
        <v>681</v>
      </c>
      <c r="H242" s="980" t="s">
        <v>504</v>
      </c>
      <c r="I242" s="1123"/>
      <c r="J242" s="67"/>
      <c r="K242" s="67"/>
      <c r="L242" s="914"/>
    </row>
    <row r="243" spans="1:12" ht="17.850000000000001" customHeight="1" x14ac:dyDescent="0.45">
      <c r="A243" s="1521" t="s">
        <v>643</v>
      </c>
      <c r="B243" s="1522"/>
      <c r="C243" s="1715"/>
      <c r="D243" s="1933"/>
      <c r="E243" s="1716"/>
      <c r="F243" s="1116"/>
      <c r="G243" s="100"/>
      <c r="H243" s="1119">
        <f ca="1">' K3 PP'!O33</f>
        <v>43</v>
      </c>
      <c r="I243" s="1123"/>
      <c r="J243" s="1122" t="str">
        <f>IF(AND(C243="",F245&gt;0),"Umlagezweck angeben!","")</f>
        <v/>
      </c>
      <c r="K243" s="67"/>
      <c r="L243" s="914"/>
    </row>
    <row r="244" spans="1:12" ht="17.850000000000001" customHeight="1" x14ac:dyDescent="0.45">
      <c r="A244" s="1519" t="s">
        <v>660</v>
      </c>
      <c r="B244" s="1520"/>
      <c r="C244" s="1520"/>
      <c r="D244" s="1535"/>
      <c r="E244" s="1536"/>
      <c r="F244" s="100"/>
      <c r="G244" s="100"/>
      <c r="H244" s="1048"/>
      <c r="I244" s="1123"/>
      <c r="J244" s="67"/>
      <c r="K244" s="67"/>
      <c r="L244" s="914"/>
    </row>
    <row r="245" spans="1:12" ht="17.850000000000001" customHeight="1" x14ac:dyDescent="0.45">
      <c r="A245" s="1330" t="s">
        <v>661</v>
      </c>
      <c r="B245" s="1428"/>
      <c r="C245" s="1331"/>
      <c r="D245" s="1538"/>
      <c r="E245" s="1539"/>
      <c r="F245" s="159">
        <f>IFERROR(D244/D245,0)</f>
        <v>0</v>
      </c>
      <c r="G245" s="996"/>
      <c r="H245" s="1120" t="s">
        <v>680</v>
      </c>
      <c r="I245" s="1123"/>
      <c r="J245" s="67"/>
      <c r="K245" s="67"/>
      <c r="L245" s="914"/>
    </row>
    <row r="246" spans="1:12" ht="17.850000000000001" customHeight="1" x14ac:dyDescent="0.45">
      <c r="A246" s="1396" t="s">
        <v>216</v>
      </c>
      <c r="B246" s="1397"/>
      <c r="C246" s="1397"/>
      <c r="D246" s="1397"/>
      <c r="E246" s="1537"/>
      <c r="F246" s="285"/>
      <c r="G246" s="1117"/>
      <c r="H246" s="1118" t="str">
        <f>IF(G246&gt;0,G246*H$243,"")</f>
        <v/>
      </c>
      <c r="I246" s="1127"/>
      <c r="J246" s="1180" t="str">
        <f>IF(AND(F246&lt;&gt;0,G246&lt;&gt;0),"DOPPELT: %-Wert überschreibt €-Wert!","")</f>
        <v/>
      </c>
      <c r="K246" s="67"/>
      <c r="L246" s="914"/>
    </row>
    <row r="247" spans="1:12" ht="17.850000000000001" customHeight="1" x14ac:dyDescent="0.45">
      <c r="A247" s="1396" t="s">
        <v>121</v>
      </c>
      <c r="B247" s="1397"/>
      <c r="C247" s="1397"/>
      <c r="D247" s="1397"/>
      <c r="E247" s="1537"/>
      <c r="F247" s="285"/>
      <c r="G247" s="283"/>
      <c r="H247" s="1118" t="str">
        <f t="shared" ref="H247:H249" si="7">IF(G247&gt;0,G247*H$243,"")</f>
        <v/>
      </c>
      <c r="I247" s="1127"/>
      <c r="J247" s="1180" t="str">
        <f t="shared" ref="J247:J249" si="8">IF(AND(F247&lt;&gt;0,G247&lt;&gt;0),"DOPPELT: %-Wert überschreibt €-Wert!","")</f>
        <v/>
      </c>
      <c r="K247" s="67"/>
      <c r="L247" s="914"/>
    </row>
    <row r="248" spans="1:12" ht="17.850000000000001" customHeight="1" x14ac:dyDescent="0.45">
      <c r="A248" s="1398"/>
      <c r="B248" s="1399"/>
      <c r="C248" s="1399"/>
      <c r="D248" s="1399"/>
      <c r="E248" s="1399"/>
      <c r="F248" s="284"/>
      <c r="G248" s="283"/>
      <c r="H248" s="1118" t="str">
        <f t="shared" si="7"/>
        <v/>
      </c>
      <c r="I248" s="1127"/>
      <c r="J248" s="1180" t="str">
        <f t="shared" si="8"/>
        <v/>
      </c>
      <c r="K248" s="67"/>
      <c r="L248" s="914"/>
    </row>
    <row r="249" spans="1:12" ht="17.850000000000001" customHeight="1" x14ac:dyDescent="0.45">
      <c r="A249" s="1398"/>
      <c r="B249" s="1399"/>
      <c r="C249" s="1399"/>
      <c r="D249" s="1399"/>
      <c r="E249" s="1399"/>
      <c r="F249" s="284"/>
      <c r="G249" s="283"/>
      <c r="H249" s="1118" t="str">
        <f t="shared" si="7"/>
        <v/>
      </c>
      <c r="I249" s="1127"/>
      <c r="J249" s="1180" t="str">
        <f t="shared" si="8"/>
        <v/>
      </c>
      <c r="K249" s="67"/>
      <c r="L249" s="914"/>
    </row>
    <row r="250" spans="1:12" ht="17.850000000000001" customHeight="1" x14ac:dyDescent="0.45">
      <c r="A250" s="100"/>
      <c r="B250" s="361"/>
      <c r="C250" s="361"/>
      <c r="D250" s="361"/>
      <c r="E250" s="361"/>
      <c r="F250" s="540" t="str">
        <f>IF(AND(F249&gt;0,G249&gt;0),"NUR 1 Feld befüllen!","")</f>
        <v/>
      </c>
      <c r="G250" s="540"/>
      <c r="H250" s="67"/>
      <c r="I250" s="1127"/>
      <c r="J250" s="67"/>
      <c r="K250" s="67"/>
      <c r="L250" s="914"/>
    </row>
    <row r="251" spans="1:12" ht="17.850000000000001" customHeight="1" x14ac:dyDescent="0.45">
      <c r="A251" s="745" t="s">
        <v>514</v>
      </c>
      <c r="B251" s="746"/>
      <c r="C251" s="746"/>
      <c r="D251" s="746"/>
      <c r="E251" s="746"/>
      <c r="F251" s="747" t="s">
        <v>83</v>
      </c>
      <c r="G251" s="747" t="s">
        <v>111</v>
      </c>
      <c r="H251" s="87"/>
      <c r="I251" s="1127"/>
      <c r="J251" s="67"/>
      <c r="K251" s="67"/>
      <c r="L251" s="914"/>
    </row>
    <row r="252" spans="1:12" ht="17.850000000000001" customHeight="1" x14ac:dyDescent="0.45">
      <c r="A252" s="748" t="str">
        <f>IF(F245&gt;0.001,A243&amp;C243,"")</f>
        <v/>
      </c>
      <c r="B252" s="749"/>
      <c r="C252" s="749"/>
      <c r="D252" s="749"/>
      <c r="E252" s="749"/>
      <c r="F252" s="750" t="str">
        <f>IF(A252="","",F245)</f>
        <v/>
      </c>
      <c r="G252" s="751"/>
      <c r="H252" s="67"/>
      <c r="I252" s="1127"/>
      <c r="J252" s="67"/>
      <c r="K252" s="67"/>
      <c r="L252" s="914"/>
    </row>
    <row r="253" spans="1:12" ht="17.850000000000001" customHeight="1" x14ac:dyDescent="0.45">
      <c r="A253" s="752" t="str">
        <f>IF(OR(F246&gt;0,G246&gt;0),A246,"")</f>
        <v/>
      </c>
      <c r="B253" s="749"/>
      <c r="C253" s="749"/>
      <c r="D253" s="749"/>
      <c r="E253" s="749"/>
      <c r="F253" s="750" t="str">
        <f>IF(OR(A253="",G246&lt;&gt;0),"",F246)</f>
        <v/>
      </c>
      <c r="G253" s="751" t="str">
        <f>IF(A253="","",G246)</f>
        <v/>
      </c>
      <c r="H253" s="67"/>
      <c r="I253" s="1127"/>
      <c r="J253" s="67"/>
      <c r="K253" s="67"/>
      <c r="L253" s="914"/>
    </row>
    <row r="254" spans="1:12" ht="17.850000000000001" customHeight="1" x14ac:dyDescent="0.45">
      <c r="A254" s="752" t="str">
        <f>IF(OR(F247&gt;0,G247&gt;0),A247,"")</f>
        <v/>
      </c>
      <c r="B254" s="749"/>
      <c r="C254" s="749"/>
      <c r="D254" s="749"/>
      <c r="E254" s="749"/>
      <c r="F254" s="750" t="str">
        <f t="shared" ref="F254:F256" si="9">IF(OR(A254="",G247&lt;&gt;0),"",F247)</f>
        <v/>
      </c>
      <c r="G254" s="751" t="str">
        <f>IF(A254="","",G247)</f>
        <v/>
      </c>
      <c r="H254" s="67"/>
      <c r="I254" s="1127"/>
      <c r="J254" s="67"/>
      <c r="K254" s="67"/>
      <c r="L254" s="914"/>
    </row>
    <row r="255" spans="1:12" ht="17.850000000000001" customHeight="1" x14ac:dyDescent="0.45">
      <c r="A255" s="752" t="str">
        <f>IF(OR(F248&gt;0,G248&gt;0),A248,"")</f>
        <v/>
      </c>
      <c r="B255" s="749"/>
      <c r="C255" s="749"/>
      <c r="D255" s="749"/>
      <c r="E255" s="749"/>
      <c r="F255" s="750" t="str">
        <f t="shared" si="9"/>
        <v/>
      </c>
      <c r="G255" s="751" t="str">
        <f>IF(A255="","",G248)</f>
        <v/>
      </c>
      <c r="H255" s="67"/>
      <c r="I255" s="1127"/>
      <c r="J255" s="67"/>
      <c r="K255" s="67"/>
      <c r="L255" s="914"/>
    </row>
    <row r="256" spans="1:12" ht="17.850000000000001" customHeight="1" x14ac:dyDescent="0.45">
      <c r="A256" s="752" t="str">
        <f>IF(OR(F249&gt;0,G249&gt;0),A249,"")</f>
        <v/>
      </c>
      <c r="B256" s="749"/>
      <c r="C256" s="749"/>
      <c r="D256" s="749"/>
      <c r="E256" s="749"/>
      <c r="F256" s="750" t="str">
        <f t="shared" si="9"/>
        <v/>
      </c>
      <c r="G256" s="751" t="str">
        <f>IF(A256="","",G249)</f>
        <v/>
      </c>
      <c r="H256" s="69"/>
      <c r="I256" s="1127"/>
      <c r="J256" s="67"/>
      <c r="K256" s="67"/>
      <c r="L256" s="914"/>
    </row>
    <row r="257" spans="1:13" ht="17.850000000000001" customHeight="1" x14ac:dyDescent="0.45">
      <c r="A257" s="1396" t="s">
        <v>327</v>
      </c>
      <c r="B257" s="1397"/>
      <c r="C257" s="1397"/>
      <c r="D257" s="1397"/>
      <c r="E257" s="1397"/>
      <c r="F257" s="1397"/>
      <c r="G257" s="1397"/>
      <c r="H257" s="1397"/>
      <c r="I257" s="1127"/>
      <c r="J257" s="67"/>
      <c r="K257" s="67"/>
      <c r="L257" s="914"/>
    </row>
    <row r="258" spans="1:13" ht="17.850000000000001" customHeight="1" x14ac:dyDescent="0.45">
      <c r="A258" s="106" t="s">
        <v>244</v>
      </c>
      <c r="B258" s="121"/>
      <c r="C258" s="121"/>
      <c r="D258" s="121"/>
      <c r="E258" s="121"/>
      <c r="F258" s="131" t="s">
        <v>83</v>
      </c>
      <c r="G258" s="131" t="s">
        <v>111</v>
      </c>
      <c r="H258" s="98" t="s">
        <v>680</v>
      </c>
      <c r="I258" s="1127"/>
      <c r="J258" s="67"/>
      <c r="K258" s="67"/>
      <c r="L258" s="914"/>
    </row>
    <row r="259" spans="1:13" ht="17.850000000000001" customHeight="1" x14ac:dyDescent="0.45">
      <c r="A259" s="1507"/>
      <c r="B259" s="1507"/>
      <c r="C259" s="1507"/>
      <c r="D259" s="1507"/>
      <c r="E259" s="1507"/>
      <c r="F259" s="73" t="str">
        <f>IFERROR(VLOOKUP(A259,A$252:G$256,6,FALSE),"")</f>
        <v/>
      </c>
      <c r="G259" s="445" t="str">
        <f>IFERROR(VLOOKUP(A259,A$252:G$256,7,FALSE),"")</f>
        <v/>
      </c>
      <c r="H259" s="1075" t="str">
        <f ca="1">IFERROR(G259*H$243,"")</f>
        <v/>
      </c>
      <c r="I259" s="1127"/>
      <c r="J259" s="1475" t="str">
        <f>IF((F245+F246+F247+F248+F249+G246+G247+G248+G249)&lt;&gt;(F262+G262),"Hinweis: Nicht alle oben eingegebene Umlagen sind für Eintrag in K3 ausgewählt! Oder mehrfache Auswahl!
Gewollt? Keine Einschränkung in der weiteren Berechnung.","")</f>
        <v/>
      </c>
      <c r="K259" s="1475"/>
      <c r="L259" s="1478"/>
    </row>
    <row r="260" spans="1:13" ht="17.850000000000001" customHeight="1" x14ac:dyDescent="0.45">
      <c r="A260" s="1507"/>
      <c r="B260" s="1507"/>
      <c r="C260" s="1507"/>
      <c r="D260" s="1507"/>
      <c r="E260" s="1507"/>
      <c r="F260" s="73" t="str">
        <f>IFERROR(VLOOKUP(A260,A$252:G$256,6,FALSE),"")</f>
        <v/>
      </c>
      <c r="G260" s="445" t="str">
        <f>IFERROR(VLOOKUP(A260,A$252:G$256,7,FALSE),"")</f>
        <v/>
      </c>
      <c r="H260" s="1075" t="str">
        <f t="shared" ref="H260:H261" ca="1" si="10">IFERROR(G260*H$243,"")</f>
        <v/>
      </c>
      <c r="I260" s="1127"/>
      <c r="J260" s="1475"/>
      <c r="K260" s="1475"/>
      <c r="L260" s="1478"/>
    </row>
    <row r="261" spans="1:13" ht="17.850000000000001" customHeight="1" thickBot="1" x14ac:dyDescent="0.5">
      <c r="A261" s="1515"/>
      <c r="B261" s="1515"/>
      <c r="C261" s="1515"/>
      <c r="D261" s="1515"/>
      <c r="E261" s="1515"/>
      <c r="F261" s="90" t="str">
        <f>IFERROR(VLOOKUP(A261,A$252:G$256,6,FALSE),"")</f>
        <v/>
      </c>
      <c r="G261" s="446" t="str">
        <f>IFERROR(VLOOKUP(A261,A$252:G$256,7,FALSE),"")</f>
        <v/>
      </c>
      <c r="H261" s="1121" t="str">
        <f t="shared" ca="1" si="10"/>
        <v/>
      </c>
      <c r="I261" s="1127"/>
      <c r="J261" s="1475"/>
      <c r="K261" s="1475"/>
      <c r="L261" s="1478"/>
    </row>
    <row r="262" spans="1:13" ht="17.850000000000001" customHeight="1" x14ac:dyDescent="0.45">
      <c r="A262" s="1330" t="s">
        <v>68</v>
      </c>
      <c r="B262" s="1428"/>
      <c r="C262" s="1428"/>
      <c r="D262" s="1428"/>
      <c r="E262" s="1331"/>
      <c r="F262" s="132">
        <f>SUM(F259:F261)</f>
        <v>0</v>
      </c>
      <c r="G262" s="352">
        <f>SUM(G259:G261)</f>
        <v>0</v>
      </c>
      <c r="H262" s="132">
        <f ca="1">G262*H243</f>
        <v>0</v>
      </c>
      <c r="I262" s="1127"/>
      <c r="J262" s="1475"/>
      <c r="K262" s="1475"/>
      <c r="L262" s="1478"/>
    </row>
    <row r="263" spans="1:13" ht="17.850000000000001" customHeight="1" x14ac:dyDescent="0.45">
      <c r="A263" s="1511" t="str">
        <f ca="1">"G) Zurechnungen (Summe K3 Zeilen 17): € "&amp;TEXT(F262,"0,00")&amp;" und "&amp;TEXT(G262,"0,00%")&amp;". Gesamt: € "&amp;TEXT(F262+H262,"0,00")</f>
        <v>G) Zurechnungen (Summe K3 Zeilen 17): € 0,00 und 0,00%. Gesamt: € 0,00</v>
      </c>
      <c r="B263" s="1512"/>
      <c r="C263" s="1512"/>
      <c r="D263" s="1512"/>
      <c r="E263" s="1512"/>
      <c r="F263" s="1512"/>
      <c r="G263" s="1512"/>
      <c r="H263" s="1512"/>
      <c r="I263" s="1127"/>
      <c r="J263" s="67"/>
      <c r="K263" s="67"/>
      <c r="L263" s="914"/>
    </row>
    <row r="264" spans="1:13" ht="17.850000000000001" customHeight="1" x14ac:dyDescent="0.45">
      <c r="A264" s="1013" t="s">
        <v>654</v>
      </c>
      <c r="B264" s="780"/>
      <c r="C264" s="780"/>
      <c r="D264" s="780"/>
      <c r="E264" s="780"/>
      <c r="F264" s="780"/>
      <c r="G264" s="1908"/>
      <c r="H264" s="1909"/>
      <c r="I264" s="1127"/>
      <c r="J264" s="67"/>
      <c r="K264" s="67"/>
      <c r="L264" s="914"/>
    </row>
    <row r="265" spans="1:13" ht="17.850000000000001" customHeight="1" x14ac:dyDescent="0.45">
      <c r="A265" s="1409" t="s">
        <v>646</v>
      </c>
      <c r="B265" s="1410"/>
      <c r="C265" s="1410"/>
      <c r="D265" s="1410"/>
      <c r="E265" s="1779" t="s">
        <v>645</v>
      </c>
      <c r="F265" s="1800"/>
      <c r="G265" s="983" t="s">
        <v>111</v>
      </c>
      <c r="H265" s="67"/>
      <c r="I265" s="1127"/>
      <c r="J265" s="67"/>
      <c r="K265" s="67"/>
      <c r="L265" s="914"/>
    </row>
    <row r="266" spans="1:13" ht="17.850000000000001" customHeight="1" x14ac:dyDescent="0.45">
      <c r="A266" s="106" t="str">
        <f ca="1">"H) GZ auf Personalko. (K3 Zeile B/20: € "&amp;TEXT(' K3 PP'!O43,"0,00")&amp;")"</f>
        <v>H) GZ auf Personalko. (K3 Zeile B/20: € 13,00)</v>
      </c>
      <c r="B266" s="121"/>
      <c r="C266" s="121"/>
      <c r="D266" s="121"/>
      <c r="E266" s="1398" t="s">
        <v>683</v>
      </c>
      <c r="F266" s="1400"/>
      <c r="G266" s="900">
        <f>IFERROR(VLOOKUP(E266,'K2 GZ'!H$21:L$26,5,FALSE),"&lt;-- prüfen!")</f>
        <v>0.25802999999999998</v>
      </c>
      <c r="H266" s="541"/>
      <c r="I266" s="1127"/>
      <c r="J266" s="1122" t="str">
        <f>IF(OR(G266=0,G266=""),"Gesamtzuschlag?","")</f>
        <v/>
      </c>
      <c r="K266" s="67"/>
      <c r="L266" s="533" t="str">
        <f>IFERROR(IF(OR(G266&lt;0.05,G266&gt;0.3),"Bitte prüfen Sie die Höhe des Gesamtzuschlages auf die Personalkosten (H). Er beträgt "&amp;G266*100&amp;"%! ",""),"")</f>
        <v/>
      </c>
      <c r="M266" s="911" t="s">
        <v>22</v>
      </c>
    </row>
    <row r="267" spans="1:13" ht="17.850000000000001" customHeight="1" x14ac:dyDescent="0.45">
      <c r="A267" s="106" t="str">
        <f ca="1">"H) GZ auf Umlagen (K3 Zeile A/20: € "&amp;TEXT(' K3 PP'!M43,"0,00")&amp;")"</f>
        <v>H) GZ auf Umlagen (K3 Zeile A/20: € )</v>
      </c>
      <c r="B267" s="121"/>
      <c r="C267" s="121"/>
      <c r="D267" s="121"/>
      <c r="E267" s="1398" t="s">
        <v>683</v>
      </c>
      <c r="F267" s="1400"/>
      <c r="G267" s="900">
        <f>(IFERROR(VLOOKUP(E267,'K2 GZ'!H$21:L$26,5,FALSE),"&lt;-- prüfen!"))</f>
        <v>0.25802999999999998</v>
      </c>
      <c r="H267" s="541"/>
      <c r="I267" s="1127"/>
      <c r="J267" s="1122" t="str">
        <f>IF(AND(SUM(F252:G256)&gt;0,OR(G267=0,G267="")),"Gesamtzschlag auf Umlagen?","")</f>
        <v/>
      </c>
      <c r="K267" s="67"/>
      <c r="L267" s="533" t="str">
        <f>IFERROR(IF(AND(F262+G262&gt;0,OR(G267&lt;0.05,G267&gt;0.3)),"Bitte prüfen Sie die Höhe des Gesamtzuschlages auf die Umlagen (H). Er beträgt "&amp;G267*100&amp;"%! ",""),"")</f>
        <v/>
      </c>
      <c r="M267" s="911" t="s">
        <v>22</v>
      </c>
    </row>
    <row r="268" spans="1:13" ht="17.850000000000001" customHeight="1" x14ac:dyDescent="0.45">
      <c r="A268" s="1068" t="s">
        <v>312</v>
      </c>
      <c r="B268" s="1069">
        <f ca="1">' K3 PP'!$O$23</f>
        <v>17</v>
      </c>
      <c r="C268" s="1068" t="s">
        <v>313</v>
      </c>
      <c r="D268" s="1069">
        <f ca="1">' K3 PP'!$O$33</f>
        <v>43</v>
      </c>
      <c r="E268" s="1070" t="s">
        <v>314</v>
      </c>
      <c r="F268" s="1069">
        <f ca="1">' K3 PP'!$O$44</f>
        <v>64</v>
      </c>
      <c r="G268" s="1068" t="s">
        <v>315</v>
      </c>
      <c r="H268" s="1071">
        <f ca="1">' K3 PP'!$Q$45</f>
        <v>64</v>
      </c>
      <c r="I268" s="1127"/>
      <c r="J268" s="67"/>
      <c r="K268" s="67"/>
      <c r="L268" s="914"/>
    </row>
    <row r="269" spans="1:13" ht="17.850000000000001" customHeight="1" x14ac:dyDescent="0.45">
      <c r="A269" s="1429"/>
      <c r="B269" s="1430"/>
      <c r="C269" s="1430"/>
      <c r="D269" s="1430"/>
      <c r="E269" s="1430"/>
      <c r="F269" s="1430"/>
      <c r="G269" s="1430"/>
      <c r="H269" s="1431"/>
      <c r="I269" s="1127"/>
      <c r="J269" s="67"/>
      <c r="K269" s="67"/>
      <c r="L269" s="914"/>
    </row>
    <row r="270" spans="1:13" ht="17.850000000000001" customHeight="1" x14ac:dyDescent="0.45">
      <c r="A270" s="1435" t="s">
        <v>596</v>
      </c>
      <c r="B270" s="1436"/>
      <c r="C270" s="1436"/>
      <c r="D270" s="1436"/>
      <c r="E270" s="1436"/>
      <c r="F270" s="1436"/>
      <c r="G270" s="1437"/>
      <c r="H270" s="1438"/>
      <c r="I270" s="1127"/>
      <c r="J270" s="67"/>
      <c r="K270" s="67"/>
      <c r="L270" s="914"/>
    </row>
    <row r="271" spans="1:13" ht="17.850000000000001" customHeight="1" x14ac:dyDescent="0.45">
      <c r="A271" s="976" t="s">
        <v>610</v>
      </c>
      <c r="B271" s="977"/>
      <c r="C271" s="977"/>
      <c r="D271" s="977"/>
      <c r="E271" s="977"/>
      <c r="F271" s="847" t="s">
        <v>302</v>
      </c>
      <c r="G271" s="1886" t="str">
        <f ca="1">' K3 PP'!N45</f>
        <v>64,00 €/Std</v>
      </c>
      <c r="H271" s="1887"/>
      <c r="I271" s="1127"/>
      <c r="J271" s="67"/>
      <c r="K271" s="67"/>
      <c r="L271" s="914"/>
    </row>
    <row r="272" spans="1:13" ht="17.850000000000001" customHeight="1" x14ac:dyDescent="0.45">
      <c r="A272" s="1927" t="s">
        <v>655</v>
      </c>
      <c r="B272" s="1928"/>
      <c r="C272" s="1928"/>
      <c r="D272" s="1928"/>
      <c r="E272" s="1929"/>
      <c r="F272" s="847" t="s">
        <v>302</v>
      </c>
      <c r="G272" s="1890" t="str">
        <f>IF(_Anzeige_Prozent="Nein","= Ansicht wie ÖNORM-Blatt","= zusätzlich mit %-Angaben")</f>
        <v>= Ansicht wie ÖNORM-Blatt</v>
      </c>
      <c r="H272" s="1891"/>
      <c r="I272" s="1127"/>
      <c r="J272" s="67"/>
      <c r="K272" s="67"/>
      <c r="L272" s="914"/>
    </row>
    <row r="273" spans="1:15" ht="17.850000000000001" customHeight="1" x14ac:dyDescent="0.45">
      <c r="A273" s="1915" t="s">
        <v>611</v>
      </c>
      <c r="B273" s="1916"/>
      <c r="C273" s="1916"/>
      <c r="D273" s="487" t="s">
        <v>301</v>
      </c>
      <c r="E273" s="487" t="s">
        <v>302</v>
      </c>
      <c r="F273" s="837" t="s">
        <v>351</v>
      </c>
      <c r="G273" s="1911" t="s">
        <v>581</v>
      </c>
      <c r="H273" s="1912"/>
      <c r="I273" s="1127"/>
      <c r="J273" s="67"/>
      <c r="K273" s="67"/>
      <c r="L273" s="914"/>
    </row>
    <row r="274" spans="1:15" s="67" customFormat="1" ht="17.850000000000001" customHeight="1" x14ac:dyDescent="0.45">
      <c r="A274" s="369" t="s">
        <v>347</v>
      </c>
      <c r="B274" s="452"/>
      <c r="C274" s="452"/>
      <c r="D274" s="453"/>
      <c r="E274" s="468">
        <f ca="1">' K3 PP'!O39</f>
        <v>51</v>
      </c>
      <c r="F274" s="472"/>
      <c r="G274" s="1911"/>
      <c r="H274" s="1912"/>
      <c r="I274" s="1132"/>
      <c r="L274" s="914"/>
      <c r="M274" s="915"/>
      <c r="N274" s="915"/>
      <c r="O274" s="916"/>
    </row>
    <row r="275" spans="1:15" s="67" customFormat="1" ht="17.850000000000001" customHeight="1" x14ac:dyDescent="0.45">
      <c r="A275" s="454" t="s">
        <v>348</v>
      </c>
      <c r="B275" s="455"/>
      <c r="C275" s="455"/>
      <c r="D275" s="456"/>
      <c r="E275" s="469">
        <f ca="1">' K3 PP'!Q40</f>
        <v>51</v>
      </c>
      <c r="F275" s="848" t="s">
        <v>302</v>
      </c>
      <c r="G275" s="1911"/>
      <c r="H275" s="1912"/>
      <c r="I275" s="1129" t="str">
        <f>IF(F275=D273,"X","")</f>
        <v/>
      </c>
      <c r="L275" s="914"/>
      <c r="M275" s="915"/>
      <c r="N275" s="915"/>
      <c r="O275" s="916"/>
    </row>
    <row r="276" spans="1:15" s="67" customFormat="1" ht="17.850000000000001" customHeight="1" x14ac:dyDescent="0.45">
      <c r="A276" s="340" t="s">
        <v>349</v>
      </c>
      <c r="B276" s="457"/>
      <c r="C276" s="457"/>
      <c r="D276" s="458"/>
      <c r="E276" s="470">
        <f ca="1">' K3 PP'!O44</f>
        <v>64</v>
      </c>
      <c r="F276" s="472"/>
      <c r="G276" s="1911"/>
      <c r="H276" s="1912"/>
      <c r="I276" s="1132"/>
      <c r="M276" s="915"/>
      <c r="N276" s="915"/>
      <c r="O276" s="916"/>
    </row>
    <row r="277" spans="1:15" s="67" customFormat="1" ht="17.850000000000001" customHeight="1" x14ac:dyDescent="0.45">
      <c r="A277" s="459" t="s">
        <v>350</v>
      </c>
      <c r="B277" s="460"/>
      <c r="C277" s="460"/>
      <c r="D277" s="461"/>
      <c r="E277" s="471">
        <f ca="1">' K3 PP'!Q45</f>
        <v>64</v>
      </c>
      <c r="F277" s="849" t="s">
        <v>302</v>
      </c>
      <c r="G277" s="1913"/>
      <c r="H277" s="1914"/>
      <c r="I277" s="1129" t="str">
        <f>IF(F277=D273,"X","")</f>
        <v/>
      </c>
      <c r="M277" s="915"/>
      <c r="N277" s="915"/>
      <c r="O277" s="916"/>
    </row>
    <row r="278" spans="1:15" s="67" customFormat="1" ht="17.850000000000001" customHeight="1" x14ac:dyDescent="0.45">
      <c r="A278" s="1020"/>
      <c r="B278" s="1021"/>
      <c r="C278" s="1021"/>
      <c r="D278" s="1021"/>
      <c r="E278" s="1021"/>
      <c r="F278" s="1021"/>
      <c r="G278" s="1439"/>
      <c r="H278" s="1440"/>
      <c r="I278" s="1133"/>
      <c r="M278" s="915"/>
      <c r="N278" s="915"/>
      <c r="O278" s="916"/>
    </row>
    <row r="279" spans="1:15" s="67" customFormat="1" ht="17.850000000000001" customHeight="1" x14ac:dyDescent="0.45">
      <c r="A279" s="1560"/>
      <c r="B279" s="1561"/>
      <c r="C279" s="1561"/>
      <c r="D279" s="1561"/>
      <c r="E279" s="1561"/>
      <c r="F279" s="1561"/>
      <c r="G279" s="1561"/>
      <c r="H279" s="1561"/>
      <c r="I279" s="1889"/>
      <c r="M279" s="915"/>
      <c r="N279" s="915"/>
      <c r="O279" s="916"/>
    </row>
    <row r="280" spans="1:15" s="67" customFormat="1" ht="17.850000000000001" customHeight="1" x14ac:dyDescent="0.45">
      <c r="A280" s="1883" t="s">
        <v>446</v>
      </c>
      <c r="B280" s="1884"/>
      <c r="C280" s="1884"/>
      <c r="D280" s="1884"/>
      <c r="E280" s="1884"/>
      <c r="F280" s="1884"/>
      <c r="G280" s="1884"/>
      <c r="H280" s="1884"/>
      <c r="I280" s="1885"/>
      <c r="M280" s="915"/>
      <c r="N280" s="915"/>
      <c r="O280" s="916"/>
    </row>
    <row r="281" spans="1:15" s="67" customFormat="1" ht="17.850000000000001" customHeight="1" x14ac:dyDescent="0.45">
      <c r="A281" s="1470" t="s">
        <v>447</v>
      </c>
      <c r="B281" s="1471"/>
      <c r="C281" s="1471"/>
      <c r="D281" s="1471"/>
      <c r="E281" s="1471"/>
      <c r="F281" s="1471"/>
      <c r="G281" s="1471"/>
      <c r="H281" s="1471"/>
      <c r="I281" s="1523"/>
      <c r="M281" s="915"/>
      <c r="N281" s="915"/>
      <c r="O281" s="916"/>
    </row>
    <row r="282" spans="1:15" s="67" customFormat="1" ht="17.850000000000001" customHeight="1" x14ac:dyDescent="0.45">
      <c r="A282" s="1524"/>
      <c r="B282" s="1525"/>
      <c r="C282" s="1525"/>
      <c r="D282" s="1525"/>
      <c r="E282" s="1525"/>
      <c r="F282" s="1525"/>
      <c r="G282" s="1525"/>
      <c r="H282" s="1525"/>
      <c r="I282" s="1526"/>
      <c r="M282" s="915"/>
      <c r="N282" s="915"/>
      <c r="O282" s="916"/>
    </row>
    <row r="283" spans="1:15" s="67" customFormat="1" ht="17.850000000000001" customHeight="1" x14ac:dyDescent="0.45">
      <c r="A283" s="1472"/>
      <c r="B283" s="1473"/>
      <c r="C283" s="1473"/>
      <c r="D283" s="1473"/>
      <c r="E283" s="1473"/>
      <c r="F283" s="1473"/>
      <c r="G283" s="1473"/>
      <c r="H283" s="1473"/>
      <c r="I283" s="1527"/>
      <c r="M283" s="915"/>
      <c r="N283" s="915"/>
      <c r="O283" s="916"/>
    </row>
    <row r="284" spans="1:15" s="67" customFormat="1" ht="17.850000000000001" customHeight="1" x14ac:dyDescent="0.45">
      <c r="A284" s="1874" t="s">
        <v>662</v>
      </c>
      <c r="B284" s="1875"/>
      <c r="C284" s="1875"/>
      <c r="D284" s="1875"/>
      <c r="E284" s="1875"/>
      <c r="F284" s="1875"/>
      <c r="G284" s="1875"/>
      <c r="H284" s="1875"/>
      <c r="I284" s="1876"/>
      <c r="M284" s="915"/>
      <c r="N284" s="915"/>
      <c r="O284" s="916"/>
    </row>
    <row r="285" spans="1:15" s="67" customFormat="1" ht="17.850000000000001" customHeight="1" x14ac:dyDescent="0.45">
      <c r="A285" s="1877"/>
      <c r="B285" s="1878"/>
      <c r="C285" s="1878"/>
      <c r="D285" s="1878"/>
      <c r="E285" s="1878"/>
      <c r="F285" s="1878"/>
      <c r="G285" s="1878"/>
      <c r="H285" s="1878"/>
      <c r="I285" s="1879"/>
      <c r="L285" s="914"/>
      <c r="M285" s="915"/>
      <c r="N285" s="915"/>
      <c r="O285" s="916"/>
    </row>
    <row r="286" spans="1:15" s="67" customFormat="1" ht="17.850000000000001" customHeight="1" x14ac:dyDescent="0.45">
      <c r="A286" s="1877"/>
      <c r="B286" s="1878"/>
      <c r="C286" s="1878"/>
      <c r="D286" s="1878"/>
      <c r="E286" s="1878"/>
      <c r="F286" s="1878"/>
      <c r="G286" s="1878"/>
      <c r="H286" s="1878"/>
      <c r="I286" s="1879"/>
      <c r="L286" s="914"/>
      <c r="M286" s="915"/>
      <c r="N286" s="915"/>
      <c r="O286" s="916"/>
    </row>
    <row r="287" spans="1:15" s="67" customFormat="1" ht="17.850000000000001" customHeight="1" x14ac:dyDescent="0.45">
      <c r="A287" s="1877"/>
      <c r="B287" s="1878"/>
      <c r="C287" s="1878"/>
      <c r="D287" s="1878"/>
      <c r="E287" s="1878"/>
      <c r="F287" s="1878"/>
      <c r="G287" s="1878"/>
      <c r="H287" s="1878"/>
      <c r="I287" s="1879"/>
      <c r="L287" s="914"/>
      <c r="M287" s="915"/>
      <c r="N287" s="915"/>
      <c r="O287" s="916"/>
    </row>
    <row r="288" spans="1:15" s="67" customFormat="1" ht="17.850000000000001" customHeight="1" x14ac:dyDescent="0.45">
      <c r="A288" s="1880"/>
      <c r="B288" s="1881"/>
      <c r="C288" s="1881"/>
      <c r="D288" s="1881"/>
      <c r="E288" s="1881"/>
      <c r="F288" s="1881"/>
      <c r="G288" s="1881"/>
      <c r="H288" s="1881"/>
      <c r="I288" s="1882"/>
      <c r="L288" s="914"/>
      <c r="M288" s="915"/>
      <c r="N288" s="915"/>
      <c r="O288" s="916"/>
    </row>
    <row r="289" spans="1:13" ht="17.850000000000001" customHeight="1" x14ac:dyDescent="0.45">
      <c r="A289" s="1922" t="s">
        <v>445</v>
      </c>
      <c r="B289" s="1923"/>
      <c r="C289" s="1923"/>
      <c r="D289" s="1923"/>
      <c r="E289" s="1923"/>
      <c r="F289" s="1923"/>
      <c r="G289" s="1923"/>
      <c r="H289" s="1923"/>
      <c r="I289" s="1134"/>
      <c r="J289" s="67"/>
      <c r="K289" s="67"/>
      <c r="L289" s="914"/>
    </row>
    <row r="290" spans="1:13" ht="17.850000000000001" customHeight="1" x14ac:dyDescent="0.45">
      <c r="A290" s="1607" t="str">
        <f>A$12</f>
        <v xml:space="preserve">Bezeichnung (Produktionsfaktor-Nr.): </v>
      </c>
      <c r="B290" s="1668"/>
      <c r="C290" s="1669"/>
      <c r="D290" s="1524" t="s">
        <v>687</v>
      </c>
      <c r="E290" s="1525"/>
      <c r="F290" s="1525"/>
      <c r="G290" s="1525"/>
      <c r="H290" s="1525"/>
      <c r="I290" s="1135"/>
      <c r="J290" s="67"/>
      <c r="K290" s="67"/>
      <c r="L290" s="914"/>
    </row>
    <row r="291" spans="1:13" ht="17.850000000000001" customHeight="1" x14ac:dyDescent="0.45">
      <c r="A291" s="1467"/>
      <c r="B291" s="1468"/>
      <c r="C291" s="1469"/>
      <c r="D291" s="1472"/>
      <c r="E291" s="1473"/>
      <c r="F291" s="1473"/>
      <c r="G291" s="1473"/>
      <c r="H291" s="1473"/>
      <c r="I291" s="1135"/>
      <c r="J291" s="67"/>
      <c r="K291" s="67"/>
      <c r="L291" s="914"/>
    </row>
    <row r="292" spans="1:13" ht="17.850000000000001" customHeight="1" x14ac:dyDescent="0.45">
      <c r="A292" s="1888" t="s">
        <v>221</v>
      </c>
      <c r="B292" s="1888"/>
      <c r="C292" s="1888"/>
      <c r="D292" s="1888"/>
      <c r="E292" s="98" t="s">
        <v>23</v>
      </c>
      <c r="F292" s="98" t="s">
        <v>81</v>
      </c>
      <c r="G292" s="71" t="s">
        <v>86</v>
      </c>
      <c r="H292" s="157" t="s">
        <v>87</v>
      </c>
      <c r="I292" s="1135"/>
      <c r="J292" s="67"/>
      <c r="K292" s="67"/>
      <c r="L292" s="914"/>
    </row>
    <row r="293" spans="1:13" ht="17.850000000000001" customHeight="1" thickBot="1" x14ac:dyDescent="0.5">
      <c r="A293" s="1406" t="s">
        <v>699</v>
      </c>
      <c r="B293" s="1407"/>
      <c r="C293" s="1408"/>
      <c r="D293" s="77">
        <f ca="1">IFERROR(VLOOKUP(A293,Stammdaten!A$7:D$33,4,FALSE),"&lt;-- Prüfen!")</f>
        <v>16.36</v>
      </c>
      <c r="E293" s="110">
        <v>1</v>
      </c>
      <c r="F293" s="79">
        <v>1</v>
      </c>
      <c r="G293" s="90">
        <f ca="1">IFERROR(VLOOKUP(A293,Stammdaten!A$7:F$33,4,FALSE)*F293,"")</f>
        <v>16.36</v>
      </c>
      <c r="H293" s="158">
        <f ca="1">IFERROR(VLOOKUP(A293,Stammdaten!A$7:F$33,6,FALSE)*F293,"")</f>
        <v>2.4500000000000002</v>
      </c>
      <c r="I293" s="1135"/>
      <c r="J293" s="1475"/>
      <c r="K293" s="1475"/>
      <c r="L293" s="1478" t="str">
        <f ca="1">IF(AND(D293&gt;0,E293=0),"Anzahl / Anteil eingeben","")</f>
        <v/>
      </c>
      <c r="M293" s="925"/>
    </row>
    <row r="294" spans="1:13" ht="17.850000000000001" customHeight="1" x14ac:dyDescent="0.45">
      <c r="A294" s="1403" t="s">
        <v>113</v>
      </c>
      <c r="B294" s="1404"/>
      <c r="C294" s="1404"/>
      <c r="D294" s="1405"/>
      <c r="E294" s="75">
        <f>SUM(E293:E293)</f>
        <v>1</v>
      </c>
      <c r="F294" s="76">
        <v>1</v>
      </c>
      <c r="G294" s="77">
        <f ca="1">IF(AND(_OK?="OK!",_OK_KV?="OK_KV!"),SUM(G293),ROUNDUP(G293,0))</f>
        <v>17</v>
      </c>
      <c r="H294" s="159">
        <f ca="1">SUM(H293:H293)</f>
        <v>2.4500000000000002</v>
      </c>
      <c r="I294" s="1136" t="str">
        <f ca="1">IF(OR(_OK?&lt;&gt;"OK!",_OK_KV?&lt;&gt;"OK_KV!"),"X","")</f>
        <v>X</v>
      </c>
      <c r="J294" s="1475"/>
      <c r="K294" s="1475"/>
      <c r="L294" s="1478"/>
      <c r="M294" s="925"/>
    </row>
    <row r="295" spans="1:13" ht="17.850000000000001" customHeight="1" x14ac:dyDescent="0.45">
      <c r="A295" s="1396" t="s">
        <v>316</v>
      </c>
      <c r="B295" s="1397"/>
      <c r="C295" s="1397"/>
      <c r="D295" s="1397"/>
      <c r="E295" s="1397"/>
      <c r="F295" s="1397"/>
      <c r="G295" s="1397"/>
      <c r="H295" s="1397"/>
      <c r="I295" s="1135"/>
      <c r="J295" s="989"/>
      <c r="K295" s="758"/>
      <c r="L295" s="914"/>
    </row>
    <row r="296" spans="1:13" ht="17.850000000000001" customHeight="1" thickBot="1" x14ac:dyDescent="0.5">
      <c r="A296" s="1406"/>
      <c r="B296" s="1407"/>
      <c r="C296" s="1408"/>
      <c r="D296" s="90">
        <f ca="1">IFERROR(VLOOKUP(A296,Stammdaten!A$7:D$33,4,FALSE),"&lt;-- Prüfen!")</f>
        <v>0</v>
      </c>
      <c r="E296" s="286"/>
      <c r="F296" s="79" t="str">
        <f>IF(A296&lt;&gt;"",E296/E297,"")</f>
        <v/>
      </c>
      <c r="G296" s="90" t="str">
        <f ca="1">IFERROR(VLOOKUP(A296,Stammdaten!A$7:F$33,4,FALSE)*F296,"")</f>
        <v/>
      </c>
      <c r="H296" s="90" t="str">
        <f ca="1">IFERROR(VLOOKUP(A296,Stammdaten!A$7:F$33,6,FALSE)*F296,"")</f>
        <v/>
      </c>
      <c r="I296" s="1135"/>
      <c r="J296" s="1475" t="str">
        <f>IF(AND(E296&gt;0,A296=""),"Beschäftigungsgruppe auswählen oder Anzahl = 0 oder löschen!","")</f>
        <v/>
      </c>
      <c r="K296" s="1475"/>
      <c r="L296" s="1478" t="str">
        <f ca="1">IF(AND(D296&gt;0,E296=0),"Anzahl / Anteil eingeben","")</f>
        <v/>
      </c>
    </row>
    <row r="297" spans="1:13" ht="17.850000000000001" customHeight="1" x14ac:dyDescent="0.45">
      <c r="A297" s="996" t="s">
        <v>113</v>
      </c>
      <c r="B297" s="997"/>
      <c r="C297" s="997"/>
      <c r="D297" s="998"/>
      <c r="E297" s="111">
        <f>SUM(E296:E296)</f>
        <v>0</v>
      </c>
      <c r="F297" s="76">
        <f>SUM(F296:F296)</f>
        <v>0</v>
      </c>
      <c r="G297" s="77">
        <f ca="1">SUM(G296:G296)</f>
        <v>0</v>
      </c>
      <c r="H297" s="159">
        <f ca="1">SUM(H296:H296)</f>
        <v>0</v>
      </c>
      <c r="I297" s="1135"/>
      <c r="J297" s="1475"/>
      <c r="K297" s="1475"/>
      <c r="L297" s="1478"/>
    </row>
    <row r="298" spans="1:13" ht="17.850000000000001" customHeight="1" x14ac:dyDescent="0.45">
      <c r="A298" s="100"/>
      <c r="B298" s="985"/>
      <c r="C298" s="985"/>
      <c r="D298" s="985"/>
      <c r="E298" s="985"/>
      <c r="F298" s="985"/>
      <c r="G298" s="361"/>
      <c r="H298" s="361"/>
      <c r="I298" s="1137"/>
      <c r="J298" s="67"/>
      <c r="K298" s="67"/>
      <c r="L298" s="914"/>
    </row>
    <row r="299" spans="1:13" ht="17.850000000000001" customHeight="1" x14ac:dyDescent="0.45">
      <c r="A299" s="1347" t="s">
        <v>195</v>
      </c>
      <c r="B299" s="1348"/>
      <c r="C299" s="1348"/>
      <c r="D299" s="1348"/>
      <c r="E299" s="1348"/>
      <c r="F299" s="1348"/>
      <c r="G299" s="1348"/>
      <c r="H299" s="313">
        <v>0</v>
      </c>
      <c r="I299" s="1135"/>
      <c r="J299" s="1484" t="str">
        <f>IF(ISBLANK(H299),"Kennzeichen eingeben!","")</f>
        <v/>
      </c>
      <c r="K299" s="1484"/>
      <c r="L299" s="914"/>
    </row>
    <row r="300" spans="1:13" ht="17.850000000000001" customHeight="1" thickBot="1" x14ac:dyDescent="0.5">
      <c r="A300" s="1409" t="s">
        <v>515</v>
      </c>
      <c r="B300" s="1410"/>
      <c r="C300" s="1410"/>
      <c r="D300" s="1410"/>
      <c r="E300" s="565" t="s">
        <v>93</v>
      </c>
      <c r="F300" s="135">
        <f>IF(H299=1,E294,E294-E297)</f>
        <v>1</v>
      </c>
      <c r="G300" s="566" t="s">
        <v>94</v>
      </c>
      <c r="H300" s="160">
        <f>E297</f>
        <v>0</v>
      </c>
      <c r="I300" s="1135"/>
      <c r="J300" s="67"/>
      <c r="K300" s="67"/>
      <c r="L300" s="914"/>
    </row>
    <row r="301" spans="1:13" ht="17.850000000000001" customHeight="1" thickBot="1" x14ac:dyDescent="0.5">
      <c r="A301" s="70"/>
      <c r="B301" s="98"/>
      <c r="C301" s="973"/>
      <c r="D301" s="98" t="s">
        <v>86</v>
      </c>
      <c r="E301" s="973" t="s">
        <v>87</v>
      </c>
      <c r="F301" s="422" t="s">
        <v>164</v>
      </c>
      <c r="G301" s="418" t="s">
        <v>104</v>
      </c>
      <c r="H301" s="419" t="s">
        <v>87</v>
      </c>
      <c r="I301" s="1138"/>
      <c r="J301" s="67"/>
      <c r="K301" s="67"/>
      <c r="L301" s="914"/>
    </row>
    <row r="302" spans="1:13" ht="17.850000000000001" customHeight="1" x14ac:dyDescent="0.45">
      <c r="A302" s="70" t="s">
        <v>89</v>
      </c>
      <c r="B302" s="98"/>
      <c r="C302" s="973"/>
      <c r="D302" s="112">
        <f ca="1">G294*F300</f>
        <v>17</v>
      </c>
      <c r="E302" s="133">
        <f ca="1">F300*H294</f>
        <v>2.4500000000000002</v>
      </c>
      <c r="F302" s="416" t="s">
        <v>71</v>
      </c>
      <c r="G302" s="77">
        <f ca="1">D302</f>
        <v>17</v>
      </c>
      <c r="H302" s="417">
        <f ca="1">D304</f>
        <v>17</v>
      </c>
      <c r="I302" s="1138"/>
      <c r="J302" s="67"/>
      <c r="K302" s="67"/>
      <c r="L302" s="914"/>
    </row>
    <row r="303" spans="1:13" ht="17.850000000000001" customHeight="1" thickBot="1" x14ac:dyDescent="0.5">
      <c r="A303" s="115" t="s">
        <v>90</v>
      </c>
      <c r="B303" s="116"/>
      <c r="C303" s="117"/>
      <c r="D303" s="118">
        <f ca="1">H300*G297</f>
        <v>0</v>
      </c>
      <c r="E303" s="134">
        <f ca="1">H300*H297</f>
        <v>0</v>
      </c>
      <c r="F303" s="409" t="s">
        <v>340</v>
      </c>
      <c r="G303" s="90">
        <f ca="1">D303</f>
        <v>0</v>
      </c>
      <c r="H303" s="410">
        <f ca="1">E304</f>
        <v>2.4500000000000002</v>
      </c>
      <c r="I303" s="1138"/>
      <c r="J303" s="67"/>
      <c r="K303" s="67"/>
      <c r="L303" s="914"/>
    </row>
    <row r="304" spans="1:13" ht="17.850000000000001" customHeight="1" thickBot="1" x14ac:dyDescent="0.5">
      <c r="A304" s="181"/>
      <c r="B304" s="177"/>
      <c r="C304" s="993" t="s">
        <v>67</v>
      </c>
      <c r="D304" s="182">
        <f ca="1">SUM(D302:D303)</f>
        <v>17</v>
      </c>
      <c r="E304" s="183">
        <f ca="1">SUM(E302:E303)</f>
        <v>2.4500000000000002</v>
      </c>
      <c r="F304" s="413" t="s">
        <v>105</v>
      </c>
      <c r="G304" s="414">
        <f ca="1">G303/G302</f>
        <v>0</v>
      </c>
      <c r="H304" s="415">
        <f ca="1">H303/H302</f>
        <v>0.14410000000000001</v>
      </c>
      <c r="I304" s="1138"/>
      <c r="J304" s="67"/>
      <c r="K304" s="67"/>
      <c r="L304" s="914"/>
    </row>
    <row r="305" spans="1:15" ht="17.850000000000001" customHeight="1" thickBot="1" x14ac:dyDescent="0.5">
      <c r="A305" s="153"/>
      <c r="B305" s="175"/>
      <c r="C305" s="175" t="s">
        <v>470</v>
      </c>
      <c r="D305" s="184">
        <f ca="1">H$55</f>
        <v>0.12230000000000001</v>
      </c>
      <c r="E305" s="1504" t="s">
        <v>218</v>
      </c>
      <c r="F305" s="1870"/>
      <c r="G305" s="270"/>
      <c r="H305" s="320"/>
      <c r="I305" s="1136" t="str">
        <f>IF(OR(G305&lt;&gt;0,H305&lt;&gt;0),"X","")</f>
        <v/>
      </c>
      <c r="J305" s="67"/>
      <c r="K305" s="67"/>
      <c r="L305" s="914"/>
    </row>
    <row r="306" spans="1:15" ht="17.850000000000001" customHeight="1" x14ac:dyDescent="0.45">
      <c r="A306" s="181"/>
      <c r="B306" s="177"/>
      <c r="C306" s="985"/>
      <c r="D306" s="179"/>
      <c r="E306" s="1505" t="s">
        <v>219</v>
      </c>
      <c r="F306" s="1505"/>
      <c r="G306" s="178">
        <f ca="1">G304+G305</f>
        <v>0</v>
      </c>
      <c r="H306" s="315">
        <f ca="1">H304+H305</f>
        <v>0.14410000000000001</v>
      </c>
      <c r="I306" s="1135"/>
      <c r="J306" s="67"/>
      <c r="K306" s="67"/>
      <c r="L306" s="914"/>
    </row>
    <row r="307" spans="1:15" ht="17.850000000000001" customHeight="1" x14ac:dyDescent="0.45">
      <c r="A307" s="119"/>
      <c r="B307" s="753"/>
      <c r="C307" s="982"/>
      <c r="D307" s="176"/>
      <c r="E307" s="130"/>
      <c r="F307" s="130"/>
      <c r="G307" s="180" t="s">
        <v>169</v>
      </c>
      <c r="H307" s="316" t="s">
        <v>170</v>
      </c>
      <c r="I307" s="1135"/>
      <c r="J307" s="67"/>
      <c r="K307" s="67"/>
      <c r="L307" s="914"/>
    </row>
    <row r="308" spans="1:15" ht="17.850000000000001" customHeight="1" x14ac:dyDescent="0.45">
      <c r="A308" s="307" t="s">
        <v>126</v>
      </c>
      <c r="B308" s="308"/>
      <c r="C308" s="308"/>
      <c r="D308" s="1872" t="str">
        <f>IF(A293=0,"Beschäftigungsgruppe wählen!",A293)</f>
        <v>Facharbeiter (&gt; 2Verwendungsjahr)</v>
      </c>
      <c r="E308" s="1872"/>
      <c r="F308" s="1872"/>
      <c r="G308" s="1873"/>
      <c r="H308" s="309">
        <f ca="1">' K3 Regie1'!N45</f>
        <v>66.25</v>
      </c>
      <c r="I308" s="1135"/>
      <c r="J308" s="67"/>
      <c r="K308" s="67"/>
      <c r="L308" s="914"/>
    </row>
    <row r="309" spans="1:15" ht="17.850000000000001" customHeight="1" x14ac:dyDescent="0.45">
      <c r="A309" s="1502"/>
      <c r="B309" s="1503"/>
      <c r="C309" s="1503"/>
      <c r="D309" s="1503"/>
      <c r="E309" s="1503"/>
      <c r="F309" s="1503"/>
      <c r="G309" s="1503"/>
      <c r="H309" s="1503"/>
      <c r="I309" s="1135"/>
      <c r="J309" s="67"/>
      <c r="K309" s="67"/>
      <c r="L309" s="914"/>
    </row>
    <row r="310" spans="1:15" s="120" customFormat="1" ht="17.850000000000001" customHeight="1" x14ac:dyDescent="0.45">
      <c r="A310" s="1485" t="s">
        <v>222</v>
      </c>
      <c r="B310" s="1486"/>
      <c r="C310" s="1486"/>
      <c r="D310" s="1487"/>
      <c r="E310" s="1422" t="s">
        <v>155</v>
      </c>
      <c r="F310" s="1422" t="s">
        <v>214</v>
      </c>
      <c r="G310" s="1422" t="s">
        <v>217</v>
      </c>
      <c r="H310" s="1422" t="s">
        <v>156</v>
      </c>
      <c r="I310" s="1139"/>
      <c r="J310" s="303"/>
      <c r="K310" s="303"/>
      <c r="L310" s="926"/>
      <c r="M310" s="927"/>
      <c r="N310" s="927"/>
      <c r="O310" s="928"/>
    </row>
    <row r="311" spans="1:15" s="120" customFormat="1" ht="17.850000000000001" customHeight="1" x14ac:dyDescent="0.45">
      <c r="A311" s="1488"/>
      <c r="B311" s="1489"/>
      <c r="C311" s="1489"/>
      <c r="D311" s="1490"/>
      <c r="E311" s="1423"/>
      <c r="F311" s="1423"/>
      <c r="G311" s="1423"/>
      <c r="H311" s="1423"/>
      <c r="I311" s="1139"/>
      <c r="J311" s="303"/>
      <c r="K311" s="303"/>
      <c r="L311" s="926"/>
      <c r="M311" s="927"/>
      <c r="N311" s="927"/>
      <c r="O311" s="928"/>
    </row>
    <row r="312" spans="1:15" ht="17.850000000000001" customHeight="1" thickBot="1" x14ac:dyDescent="0.5">
      <c r="A312" s="1867"/>
      <c r="B312" s="1868"/>
      <c r="C312" s="1868"/>
      <c r="D312" s="1869"/>
      <c r="E312" s="1871"/>
      <c r="F312" s="1871"/>
      <c r="G312" s="1871"/>
      <c r="H312" s="1871"/>
      <c r="I312" s="1135"/>
      <c r="J312" s="67"/>
      <c r="K312" s="67"/>
      <c r="L312" s="914"/>
    </row>
    <row r="313" spans="1:15" ht="17.850000000000001" customHeight="1" thickBot="1" x14ac:dyDescent="0.5">
      <c r="A313" s="1553" t="s">
        <v>319</v>
      </c>
      <c r="B313" s="1553"/>
      <c r="C313" s="1553"/>
      <c r="D313" s="1553"/>
      <c r="E313" s="395">
        <v>0</v>
      </c>
      <c r="F313" s="396"/>
      <c r="G313" s="397"/>
      <c r="H313" s="398">
        <f>IF(ISBLANK(G313),E313,G313)</f>
        <v>0</v>
      </c>
      <c r="I313" s="1136" t="str">
        <f>IF(G313&lt;&gt;0,"X","")</f>
        <v/>
      </c>
      <c r="J313" s="67"/>
      <c r="K313" s="67"/>
      <c r="L313" s="914"/>
    </row>
    <row r="314" spans="1:15" ht="17.850000000000001" customHeight="1" x14ac:dyDescent="0.45">
      <c r="A314" s="1551" t="s">
        <v>152</v>
      </c>
      <c r="B314" s="1552"/>
      <c r="C314" s="1552"/>
      <c r="D314" s="1552"/>
      <c r="E314" s="399">
        <v>1</v>
      </c>
      <c r="F314" s="400"/>
      <c r="G314" s="401"/>
      <c r="H314" s="402">
        <f>IF(F314=1,G314,E314)</f>
        <v>1</v>
      </c>
      <c r="I314" s="1140"/>
      <c r="J314" s="67"/>
      <c r="K314" s="67"/>
      <c r="L314" s="914"/>
    </row>
    <row r="315" spans="1:15" ht="17.850000000000001" customHeight="1" x14ac:dyDescent="0.45">
      <c r="A315" s="1419" t="s">
        <v>471</v>
      </c>
      <c r="B315" s="1420"/>
      <c r="C315" s="1420"/>
      <c r="D315" s="1421"/>
      <c r="E315" s="369"/>
      <c r="F315" s="313">
        <v>0</v>
      </c>
      <c r="G315" s="377"/>
      <c r="H315" s="403"/>
      <c r="I315" s="1141" t="str">
        <f>IF(F315&lt;&gt;0,"X","")</f>
        <v/>
      </c>
      <c r="J315" s="1484" t="str">
        <f>IF(F315+F319+F323&gt;1,"Zusätzlich mit Verrechnungsstd.?","")</f>
        <v/>
      </c>
      <c r="K315" s="1484"/>
      <c r="L315" s="914"/>
    </row>
    <row r="316" spans="1:15" ht="17.850000000000001" customHeight="1" x14ac:dyDescent="0.45">
      <c r="A316" s="340" t="s">
        <v>124</v>
      </c>
      <c r="B316" s="1459"/>
      <c r="C316" s="1459"/>
      <c r="D316" s="1459"/>
      <c r="E316" s="341">
        <f ca="1">IFERROR(VLOOKUP(B316,Stammdaten!A$39:C$48,3,FALSE),"")</f>
        <v>0</v>
      </c>
      <c r="F316" s="373"/>
      <c r="G316" s="379"/>
      <c r="H316" s="404"/>
      <c r="I316" s="1140"/>
      <c r="J316" s="1484" t="str">
        <f ca="1">IF(AND(F315=1,E316=0),"Arbeitszeitzuschlag auswählen!","")</f>
        <v/>
      </c>
      <c r="K316" s="1484"/>
      <c r="L316" s="914"/>
    </row>
    <row r="317" spans="1:15" ht="17.850000000000001" customHeight="1" x14ac:dyDescent="0.45">
      <c r="A317" s="1479" t="s">
        <v>198</v>
      </c>
      <c r="B317" s="1480"/>
      <c r="C317" s="1480"/>
      <c r="D317" s="1480"/>
      <c r="E317" s="342">
        <f ca="1">IFERROR(IF(VLOOKUP(B316,Stammdaten!A$39:C$48,2,FALSE)=0,1,(VLOOKUP(B316,Stammdaten!A$39:C$48,2,FALSE))),"")</f>
        <v>1</v>
      </c>
      <c r="F317" s="373"/>
      <c r="G317" s="378"/>
      <c r="H317" s="405"/>
      <c r="I317" s="1140"/>
      <c r="J317" s="67"/>
      <c r="K317" s="67"/>
      <c r="L317" s="914"/>
    </row>
    <row r="318" spans="1:15" ht="17.850000000000001" customHeight="1" x14ac:dyDescent="0.45">
      <c r="A318" s="1416" t="s">
        <v>474</v>
      </c>
      <c r="B318" s="1417"/>
      <c r="C318" s="1417"/>
      <c r="D318" s="1418"/>
      <c r="E318" s="372"/>
      <c r="F318" s="484"/>
      <c r="G318" s="380" t="str">
        <f>IF(F318=1,1,IF(F318=2,((' K3 Regie1'!O$23+' K3 Regie1'!O$24)/' K3 Regie1'!O$23),IF(F318&gt;2,((' K3 Regie1'!O$23+' K3 Regie1'!O$24+' K3 Regie1'!O$25)/' K3 Regie1'!O$23),"")))</f>
        <v/>
      </c>
      <c r="H318" s="404">
        <f>IF(F315*F318&gt;0,(E316*E317*G318),0)</f>
        <v>0</v>
      </c>
      <c r="I318" s="1140"/>
      <c r="J318" s="1484" t="str">
        <f>IF(AND(ISBLANK(F318),F315=1),"Kennzeichen setzen!","")</f>
        <v/>
      </c>
      <c r="K318" s="1484"/>
      <c r="L318" s="1474"/>
    </row>
    <row r="319" spans="1:15" ht="17.850000000000001" customHeight="1" x14ac:dyDescent="0.45">
      <c r="A319" s="1419" t="s">
        <v>472</v>
      </c>
      <c r="B319" s="1420"/>
      <c r="C319" s="1420"/>
      <c r="D319" s="1421"/>
      <c r="E319" s="369"/>
      <c r="F319" s="313">
        <v>0</v>
      </c>
      <c r="G319" s="377"/>
      <c r="H319" s="403"/>
      <c r="I319" s="1141" t="str">
        <f>IF(F319&lt;&gt;0,"X","")</f>
        <v/>
      </c>
      <c r="J319" s="1484"/>
      <c r="K319" s="1484"/>
      <c r="L319" s="1474"/>
    </row>
    <row r="320" spans="1:15" ht="17.850000000000001" customHeight="1" x14ac:dyDescent="0.45">
      <c r="A320" s="340" t="s">
        <v>329</v>
      </c>
      <c r="B320" s="1459"/>
      <c r="C320" s="1459"/>
      <c r="D320" s="1459"/>
      <c r="E320" s="341">
        <f ca="1">IFERROR(VLOOKUP(B320,Stammdaten!A$50:C$54,3,FALSE),"")</f>
        <v>0</v>
      </c>
      <c r="F320" s="373"/>
      <c r="G320" s="379"/>
      <c r="H320" s="404"/>
      <c r="I320" s="1140"/>
      <c r="J320" s="978"/>
      <c r="K320" s="757"/>
      <c r="L320" s="914"/>
    </row>
    <row r="321" spans="1:12" ht="17.850000000000001" customHeight="1" x14ac:dyDescent="0.45">
      <c r="A321" s="1479" t="s">
        <v>330</v>
      </c>
      <c r="B321" s="1480"/>
      <c r="C321" s="1480"/>
      <c r="D321" s="1480"/>
      <c r="E321" s="342">
        <f ca="1">IFERROR(IF(VLOOKUP(B320,Stammdaten!A$50:C$54,2,FALSE)=0,1,(VLOOKUP(B320,Stammdaten!A$50:C$54,2,FALSE))),"")</f>
        <v>1</v>
      </c>
      <c r="F321" s="373"/>
      <c r="G321" s="378"/>
      <c r="H321" s="405"/>
      <c r="I321" s="1140"/>
      <c r="J321" s="978"/>
      <c r="K321" s="757"/>
      <c r="L321" s="914"/>
    </row>
    <row r="322" spans="1:12" ht="17.850000000000001" customHeight="1" x14ac:dyDescent="0.45">
      <c r="A322" s="1416" t="s">
        <v>474</v>
      </c>
      <c r="B322" s="1417"/>
      <c r="C322" s="1417"/>
      <c r="D322" s="1418"/>
      <c r="E322" s="372"/>
      <c r="F322" s="484"/>
      <c r="G322" s="380" t="str">
        <f>IF(F322=1,1,IF(F322=2,((' K3 Regie1'!O$23+' K3 Regie1'!O$24)/' K3 Regie1'!O$23),IF(F322&gt;2,((' K3 Regie1'!O$23+' K3 Regie1'!O$24+' K3 Regie1'!O$25)/' K3 Regie1'!O$23),"")))</f>
        <v/>
      </c>
      <c r="H322" s="404">
        <f>IF(F319*F322&gt;0,(E320*E321*G322),0)</f>
        <v>0</v>
      </c>
      <c r="I322" s="1140"/>
      <c r="J322" s="1484" t="str">
        <f>IF(AND(ISBLANK(F322),F319=1),"Kennzeichen setzen!","")</f>
        <v/>
      </c>
      <c r="K322" s="1484"/>
      <c r="L322" s="1474"/>
    </row>
    <row r="323" spans="1:12" ht="17.850000000000001" customHeight="1" x14ac:dyDescent="0.45">
      <c r="A323" s="1419" t="s">
        <v>473</v>
      </c>
      <c r="B323" s="1420"/>
      <c r="C323" s="1420"/>
      <c r="D323" s="1421"/>
      <c r="E323" s="369"/>
      <c r="F323" s="174">
        <v>0</v>
      </c>
      <c r="G323" s="370"/>
      <c r="H323" s="406"/>
      <c r="I323" s="1141" t="str">
        <f>IF(F323&lt;&gt;0,"X","")</f>
        <v/>
      </c>
      <c r="J323" s="1484"/>
      <c r="K323" s="1484"/>
      <c r="L323" s="1474"/>
    </row>
    <row r="324" spans="1:12" ht="17.850000000000001" customHeight="1" thickBot="1" x14ac:dyDescent="0.5">
      <c r="A324" s="382" t="s">
        <v>331</v>
      </c>
      <c r="B324" s="1481"/>
      <c r="C324" s="1481"/>
      <c r="D324" s="1481"/>
      <c r="E324" s="383">
        <f ca="1">IFERROR(VLOOKUP(B324,Stammdaten!A$56:C$60,2,FALSE),"")</f>
        <v>0</v>
      </c>
      <c r="F324" s="384" t="s">
        <v>328</v>
      </c>
      <c r="G324" s="385">
        <f ca="1">' K3 Regie1'!$O$21</f>
        <v>17</v>
      </c>
      <c r="H324" s="407">
        <f>IF(F323=1,E324/G324,0)</f>
        <v>0</v>
      </c>
      <c r="I324" s="1140"/>
      <c r="J324" s="978"/>
      <c r="K324" s="757"/>
      <c r="L324" s="914"/>
    </row>
    <row r="325" spans="1:12" ht="17.850000000000001" customHeight="1" thickBot="1" x14ac:dyDescent="0.5">
      <c r="A325" s="1055" t="s">
        <v>157</v>
      </c>
      <c r="B325" s="1056"/>
      <c r="C325" s="1056"/>
      <c r="D325" s="1056"/>
      <c r="E325" s="1057"/>
      <c r="F325" s="1057"/>
      <c r="G325" s="1057"/>
      <c r="H325" s="1058">
        <f>SUM(H315:H324)</f>
        <v>0</v>
      </c>
      <c r="I325" s="1142"/>
      <c r="J325" s="67"/>
      <c r="K325" s="67"/>
      <c r="L325" s="914"/>
    </row>
    <row r="326" spans="1:12" ht="17.850000000000001" customHeight="1" x14ac:dyDescent="0.45">
      <c r="A326" s="1416" t="s">
        <v>324</v>
      </c>
      <c r="B326" s="1417"/>
      <c r="C326" s="1417"/>
      <c r="D326" s="1418"/>
      <c r="E326" s="271">
        <f ca="1">$H$139</f>
        <v>1.21</v>
      </c>
      <c r="F326" s="343"/>
      <c r="G326" s="344"/>
      <c r="H326" s="324">
        <f t="shared" ref="H326:H331" ca="1" si="11">IF(ISBLANK(G326),E326,G326)</f>
        <v>1.21</v>
      </c>
      <c r="I326" s="1136" t="str">
        <f t="shared" ref="I326:I331" ca="1" si="12">IF(OR(G326&lt;&gt;0,E326&lt;&gt;H326),"X","")</f>
        <v/>
      </c>
      <c r="J326" s="67"/>
      <c r="K326" s="67"/>
      <c r="L326" s="914"/>
    </row>
    <row r="327" spans="1:12" ht="17.850000000000001" customHeight="1" x14ac:dyDescent="0.45">
      <c r="A327" s="1411" t="s">
        <v>332</v>
      </c>
      <c r="B327" s="1412"/>
      <c r="C327" s="1412"/>
      <c r="D327" s="1413"/>
      <c r="E327" s="189">
        <f ca="1">$G$138</f>
        <v>0.94</v>
      </c>
      <c r="F327" s="345"/>
      <c r="G327" s="284"/>
      <c r="H327" s="325">
        <f t="shared" ca="1" si="11"/>
        <v>0.94</v>
      </c>
      <c r="I327" s="1136" t="str">
        <f t="shared" ca="1" si="12"/>
        <v/>
      </c>
      <c r="J327" s="67"/>
      <c r="K327" s="67"/>
      <c r="L327" s="914"/>
    </row>
    <row r="328" spans="1:12" ht="17.850000000000001" customHeight="1" x14ac:dyDescent="0.45">
      <c r="A328" s="1411" t="s">
        <v>158</v>
      </c>
      <c r="B328" s="1412"/>
      <c r="C328" s="1412"/>
      <c r="D328" s="1413"/>
      <c r="E328" s="346">
        <f ca="1">$H$179</f>
        <v>0.28110000000000002</v>
      </c>
      <c r="F328" s="345"/>
      <c r="G328" s="283"/>
      <c r="H328" s="347">
        <f t="shared" ca="1" si="11"/>
        <v>0.28110000000000002</v>
      </c>
      <c r="I328" s="1136" t="str">
        <f t="shared" ca="1" si="12"/>
        <v/>
      </c>
      <c r="J328" s="67"/>
      <c r="K328" s="67"/>
      <c r="L328" s="914"/>
    </row>
    <row r="329" spans="1:12" ht="17.850000000000001" customHeight="1" x14ac:dyDescent="0.45">
      <c r="A329" s="1411" t="s">
        <v>325</v>
      </c>
      <c r="B329" s="1412"/>
      <c r="C329" s="1412"/>
      <c r="D329" s="1413"/>
      <c r="E329" s="346">
        <f ca="1">$H$198</f>
        <v>0.82350000000000001</v>
      </c>
      <c r="F329" s="345"/>
      <c r="G329" s="283"/>
      <c r="H329" s="347">
        <f t="shared" ca="1" si="11"/>
        <v>0.82350000000000001</v>
      </c>
      <c r="I329" s="1136" t="str">
        <f t="shared" ca="1" si="12"/>
        <v/>
      </c>
      <c r="J329" s="67"/>
      <c r="K329" s="67"/>
      <c r="L329" s="914"/>
    </row>
    <row r="330" spans="1:12" ht="17.850000000000001" customHeight="1" x14ac:dyDescent="0.45">
      <c r="A330" s="1411" t="s">
        <v>159</v>
      </c>
      <c r="B330" s="1412"/>
      <c r="C330" s="1412"/>
      <c r="D330" s="1413"/>
      <c r="E330" s="346">
        <f ca="1">$H$211</f>
        <v>0</v>
      </c>
      <c r="F330" s="345"/>
      <c r="G330" s="283"/>
      <c r="H330" s="347">
        <f t="shared" ca="1" si="11"/>
        <v>0</v>
      </c>
      <c r="I330" s="1136" t="str">
        <f t="shared" ca="1" si="12"/>
        <v/>
      </c>
      <c r="J330" s="67"/>
      <c r="K330" s="67"/>
      <c r="L330" s="914"/>
    </row>
    <row r="331" spans="1:12" ht="17.850000000000001" customHeight="1" x14ac:dyDescent="0.45">
      <c r="A331" s="1411" t="s">
        <v>160</v>
      </c>
      <c r="B331" s="1412"/>
      <c r="C331" s="1412"/>
      <c r="D331" s="1413"/>
      <c r="E331" s="743">
        <f ca="1">$F$238</f>
        <v>0.18554999999999999</v>
      </c>
      <c r="F331" s="345"/>
      <c r="G331" s="740"/>
      <c r="H331" s="744">
        <f t="shared" ca="1" si="11"/>
        <v>0.18554999999999999</v>
      </c>
      <c r="I331" s="1136" t="str">
        <f t="shared" ca="1" si="12"/>
        <v/>
      </c>
      <c r="J331" s="67"/>
      <c r="K331" s="67"/>
      <c r="L331" s="914"/>
    </row>
    <row r="332" spans="1:12" ht="17.850000000000001" customHeight="1" x14ac:dyDescent="0.45">
      <c r="A332" s="106" t="s">
        <v>131</v>
      </c>
      <c r="B332" s="963"/>
      <c r="C332" s="963"/>
      <c r="D332" s="963"/>
      <c r="E332" s="963"/>
      <c r="F332" s="963"/>
      <c r="G332" s="963"/>
      <c r="H332" s="1000"/>
      <c r="I332" s="1142"/>
      <c r="J332" s="67"/>
      <c r="K332" s="67"/>
      <c r="L332" s="914"/>
    </row>
    <row r="333" spans="1:12" ht="17.850000000000001" customHeight="1" x14ac:dyDescent="0.45">
      <c r="A333" s="1396" t="s">
        <v>153</v>
      </c>
      <c r="B333" s="1397"/>
      <c r="C333" s="1397"/>
      <c r="D333" s="1397"/>
      <c r="E333" s="387" t="str">
        <f>IF(OR(F$262&lt;&gt;SUM(F334:F336),G$262&lt;&gt;SUM(G334:G336)),"!","")</f>
        <v/>
      </c>
      <c r="F333" s="131" t="s">
        <v>83</v>
      </c>
      <c r="G333" s="348" t="s">
        <v>111</v>
      </c>
      <c r="H333" s="349"/>
      <c r="I333" s="1142"/>
      <c r="J333" s="1475" t="str">
        <f>IF(E333="!","Warnung: Es sind nicht alle Umlagen ausgewählt! Gewollt? Keine Einschränkung der Berechnung.","")</f>
        <v/>
      </c>
      <c r="K333" s="1475"/>
      <c r="L333" s="1478"/>
    </row>
    <row r="334" spans="1:12" ht="17.850000000000001" customHeight="1" x14ac:dyDescent="0.45">
      <c r="A334" s="1453"/>
      <c r="B334" s="1454"/>
      <c r="C334" s="1454"/>
      <c r="D334" s="1454"/>
      <c r="E334" s="1454"/>
      <c r="F334" s="349" t="str">
        <f>IFERROR(VLOOKUP(A334,A$252:G$256,6,FALSE),"")</f>
        <v/>
      </c>
      <c r="G334" s="350" t="str">
        <f>IFERROR(VLOOKUP(A334,A$252:G$256,7,FALSE),"")</f>
        <v/>
      </c>
      <c r="H334" s="163"/>
      <c r="I334" s="1142"/>
      <c r="J334" s="1475"/>
      <c r="K334" s="1475"/>
      <c r="L334" s="1478"/>
    </row>
    <row r="335" spans="1:12" ht="17.850000000000001" customHeight="1" x14ac:dyDescent="0.45">
      <c r="A335" s="1455"/>
      <c r="B335" s="1456"/>
      <c r="C335" s="1456"/>
      <c r="D335" s="1456"/>
      <c r="E335" s="1456"/>
      <c r="F335" s="163" t="str">
        <f>IFERROR(VLOOKUP(A335,A$252:G$256,6,FALSE),"")</f>
        <v/>
      </c>
      <c r="G335" s="341" t="str">
        <f>IFERROR(VLOOKUP(A335,A$252:G$256,7,FALSE),"")</f>
        <v/>
      </c>
      <c r="H335" s="163"/>
      <c r="I335" s="1142"/>
      <c r="J335" s="67"/>
      <c r="K335" s="67"/>
      <c r="L335" s="914"/>
    </row>
    <row r="336" spans="1:12" ht="17.850000000000001" customHeight="1" x14ac:dyDescent="0.45">
      <c r="A336" s="1457" t="s">
        <v>125</v>
      </c>
      <c r="B336" s="1458"/>
      <c r="C336" s="1458"/>
      <c r="D336" s="1458"/>
      <c r="E336" s="1458"/>
      <c r="F336" s="159" t="str">
        <f>IFERROR(VLOOKUP(A336,A$252:G$256,6,FALSE),"")</f>
        <v/>
      </c>
      <c r="G336" s="351">
        <f>IFERROR(VLOOKUP(A336,A$252:G$256,7,FALSE),"")</f>
        <v>0</v>
      </c>
      <c r="H336" s="163"/>
      <c r="I336" s="1142"/>
      <c r="J336" s="67"/>
      <c r="K336" s="67"/>
      <c r="L336" s="914"/>
    </row>
    <row r="337" spans="1:12" ht="17.850000000000001" customHeight="1" x14ac:dyDescent="0.45">
      <c r="A337" s="1347" t="s">
        <v>154</v>
      </c>
      <c r="B337" s="1348"/>
      <c r="C337" s="1348"/>
      <c r="D337" s="1348"/>
      <c r="E337" s="1348"/>
      <c r="F337" s="1348"/>
      <c r="G337" s="1349"/>
      <c r="H337" s="713">
        <f>G267</f>
        <v>0.25802999999999998</v>
      </c>
      <c r="I337" s="1142"/>
      <c r="J337" s="67"/>
      <c r="K337" s="67"/>
      <c r="L337" s="914"/>
    </row>
    <row r="338" spans="1:12" ht="17.850000000000001" customHeight="1" x14ac:dyDescent="0.45">
      <c r="A338" s="1396" t="s">
        <v>162</v>
      </c>
      <c r="B338" s="1397"/>
      <c r="C338" s="1397"/>
      <c r="D338" s="1397"/>
      <c r="E338" s="1397"/>
      <c r="F338" s="1397"/>
      <c r="G338" s="1397"/>
      <c r="H338" s="1674"/>
      <c r="I338" s="1135"/>
      <c r="J338" s="67"/>
      <c r="K338" s="67"/>
      <c r="L338" s="914"/>
    </row>
    <row r="339" spans="1:12" ht="17.850000000000001" customHeight="1" x14ac:dyDescent="0.45">
      <c r="A339" s="1398" t="s">
        <v>683</v>
      </c>
      <c r="B339" s="1399"/>
      <c r="C339" s="1399"/>
      <c r="D339" s="1400"/>
      <c r="E339" s="711">
        <f>IFERROR(VLOOKUP(A339,'K2 GZ'!H$21:L$26,5,FALSE),"&lt;-- prüfen!")</f>
        <v>0.25802999999999998</v>
      </c>
      <c r="F339" s="1401" t="str">
        <f>IF(OR(E339&lt;0.01,E339=""),"GZ prüfen","")</f>
        <v/>
      </c>
      <c r="G339" s="1402"/>
      <c r="H339" s="712">
        <f>E339</f>
        <v>0.25802999999999998</v>
      </c>
      <c r="I339" s="1142" t="str">
        <f>IF(E339&lt;10%,"GZ prüfen; erscheint niedrig! GZ in Blatt K2 eingeben!","")</f>
        <v/>
      </c>
      <c r="J339" s="67"/>
      <c r="K339" s="67"/>
      <c r="L339" s="914"/>
    </row>
    <row r="340" spans="1:12" ht="17.850000000000001" customHeight="1" thickBot="1" x14ac:dyDescent="0.5">
      <c r="A340" s="310" t="s">
        <v>126</v>
      </c>
      <c r="B340" s="311"/>
      <c r="C340" s="1910" t="str">
        <f>D308</f>
        <v>Facharbeiter (&gt; 2Verwendungsjahr)</v>
      </c>
      <c r="D340" s="1910"/>
      <c r="E340" s="1910"/>
      <c r="F340" s="781" t="s">
        <v>595</v>
      </c>
      <c r="G340" s="1022">
        <f ca="1">H340/D293-1</f>
        <v>3.0495000000000001</v>
      </c>
      <c r="H340" s="1023">
        <f ca="1">' K3 Regie1'!N45</f>
        <v>66.25</v>
      </c>
      <c r="I340" s="1135"/>
      <c r="J340" s="67"/>
      <c r="K340" s="67"/>
      <c r="L340" s="914"/>
    </row>
    <row r="341" spans="1:12" ht="17.850000000000001" customHeight="1" thickBot="1" x14ac:dyDescent="0.5">
      <c r="A341" s="1444"/>
      <c r="B341" s="1445"/>
      <c r="C341" s="1445"/>
      <c r="D341" s="1445"/>
      <c r="E341" s="1445"/>
      <c r="F341" s="1446"/>
      <c r="G341" s="1441"/>
      <c r="H341" s="1442"/>
      <c r="I341" s="1443"/>
      <c r="J341" s="67"/>
      <c r="K341" s="67"/>
      <c r="L341" s="914"/>
    </row>
    <row r="342" spans="1:12" ht="17.850000000000001" customHeight="1" x14ac:dyDescent="0.65">
      <c r="A342" s="1892" t="s">
        <v>444</v>
      </c>
      <c r="B342" s="1893"/>
      <c r="C342" s="1893"/>
      <c r="D342" s="1893"/>
      <c r="E342" s="1893"/>
      <c r="F342" s="1893"/>
      <c r="G342" s="1893"/>
      <c r="H342" s="1893"/>
      <c r="I342" s="1143"/>
      <c r="J342" s="67"/>
      <c r="K342" s="67"/>
      <c r="L342" s="914"/>
    </row>
    <row r="343" spans="1:12" ht="17.850000000000001" customHeight="1" x14ac:dyDescent="0.45">
      <c r="A343" s="1464" t="str">
        <f>A$12</f>
        <v xml:space="preserve">Bezeichnung (Produktionsfaktor-Nr.): </v>
      </c>
      <c r="B343" s="1465"/>
      <c r="C343" s="1466"/>
      <c r="D343" s="1470" t="s">
        <v>702</v>
      </c>
      <c r="E343" s="1471"/>
      <c r="F343" s="1471"/>
      <c r="G343" s="1471"/>
      <c r="H343" s="1471"/>
      <c r="I343" s="1144"/>
      <c r="J343" s="67"/>
      <c r="K343" s="67"/>
      <c r="L343" s="914"/>
    </row>
    <row r="344" spans="1:12" ht="17.850000000000001" customHeight="1" x14ac:dyDescent="0.45">
      <c r="A344" s="1467"/>
      <c r="B344" s="1468"/>
      <c r="C344" s="1469"/>
      <c r="D344" s="1472"/>
      <c r="E344" s="1473"/>
      <c r="F344" s="1473"/>
      <c r="G344" s="1473"/>
      <c r="H344" s="1473"/>
      <c r="I344" s="1144"/>
      <c r="J344" s="67"/>
      <c r="K344" s="67"/>
      <c r="L344" s="914"/>
    </row>
    <row r="345" spans="1:12" ht="17.850000000000001" customHeight="1" x14ac:dyDescent="0.45">
      <c r="A345" s="1888" t="s">
        <v>221</v>
      </c>
      <c r="B345" s="1888"/>
      <c r="C345" s="1888"/>
      <c r="D345" s="1888"/>
      <c r="E345" s="98" t="s">
        <v>23</v>
      </c>
      <c r="F345" s="98" t="s">
        <v>81</v>
      </c>
      <c r="G345" s="71" t="s">
        <v>86</v>
      </c>
      <c r="H345" s="157" t="s">
        <v>87</v>
      </c>
      <c r="I345" s="1144"/>
      <c r="J345" s="67"/>
      <c r="K345" s="67"/>
      <c r="L345" s="914"/>
    </row>
    <row r="346" spans="1:12" ht="17.850000000000001" customHeight="1" thickBot="1" x14ac:dyDescent="0.5">
      <c r="A346" s="1406" t="s">
        <v>700</v>
      </c>
      <c r="B346" s="1407"/>
      <c r="C346" s="1408"/>
      <c r="D346" s="77">
        <f ca="1">IFERROR(VLOOKUP(A346,Stammdaten!A$7:D$33,4,FALSE),"&lt;-- Prüfen!")</f>
        <v>13.92</v>
      </c>
      <c r="E346" s="110">
        <v>1</v>
      </c>
      <c r="F346" s="79">
        <v>1</v>
      </c>
      <c r="G346" s="90">
        <f ca="1">IFERROR(VLOOKUP(A346,Stammdaten!A$7:F$33,4,FALSE)*F346,"")</f>
        <v>13.92</v>
      </c>
      <c r="H346" s="158">
        <f ca="1">IFERROR(VLOOKUP(A346,Stammdaten!A$7:F$33,6,FALSE)*F346,"")</f>
        <v>1.39</v>
      </c>
      <c r="I346" s="1144"/>
      <c r="J346" s="1475"/>
      <c r="K346" s="1475"/>
      <c r="L346" s="1478" t="str">
        <f ca="1">IF(AND(D346&gt;0,E346=0),"Anzahl / Anteil eingeben","")</f>
        <v/>
      </c>
    </row>
    <row r="347" spans="1:12" ht="17.850000000000001" customHeight="1" x14ac:dyDescent="0.45">
      <c r="A347" s="1403" t="s">
        <v>113</v>
      </c>
      <c r="B347" s="1404"/>
      <c r="C347" s="1404"/>
      <c r="D347" s="1405"/>
      <c r="E347" s="75">
        <f>E346</f>
        <v>1</v>
      </c>
      <c r="F347" s="76">
        <v>1</v>
      </c>
      <c r="G347" s="77">
        <f ca="1">IF(AND(_OK?="OK!",_OK_KV?="OK_KV!"),SUM(G346),ROUNDUP(G346,0))</f>
        <v>14</v>
      </c>
      <c r="H347" s="159">
        <f ca="1">SUM(H346:H346)</f>
        <v>1.39</v>
      </c>
      <c r="I347" s="1145" t="str">
        <f ca="1">IF(OR(_OK?&lt;&gt;"OK!",_OK_KV?&lt;&gt;"OK_KV!"),"X","")</f>
        <v>X</v>
      </c>
      <c r="J347" s="1475"/>
      <c r="K347" s="1475"/>
      <c r="L347" s="1478"/>
    </row>
    <row r="348" spans="1:12" ht="17.850000000000001" customHeight="1" x14ac:dyDescent="0.45">
      <c r="A348" s="1396" t="s">
        <v>316</v>
      </c>
      <c r="B348" s="1397"/>
      <c r="C348" s="1397"/>
      <c r="D348" s="1397"/>
      <c r="E348" s="1397"/>
      <c r="F348" s="1397"/>
      <c r="G348" s="1397"/>
      <c r="H348" s="1397"/>
      <c r="I348" s="1144"/>
      <c r="J348" s="989"/>
      <c r="K348" s="758"/>
      <c r="L348" s="914"/>
    </row>
    <row r="349" spans="1:12" ht="17.850000000000001" customHeight="1" thickBot="1" x14ac:dyDescent="0.5">
      <c r="A349" s="1406"/>
      <c r="B349" s="1407"/>
      <c r="C349" s="1408"/>
      <c r="D349" s="90">
        <f ca="1">IFERROR(VLOOKUP(A349,Stammdaten!A$7:D$33,4,FALSE),"&lt;-- Prüfen!")</f>
        <v>0</v>
      </c>
      <c r="E349" s="286"/>
      <c r="F349" s="79" t="str">
        <f>IF(A349&lt;&gt;"",E349/E350,"")</f>
        <v/>
      </c>
      <c r="G349" s="90" t="str">
        <f ca="1">IFERROR(VLOOKUP(A349,Stammdaten!A$7:F$33,4,FALSE)*F349,"")</f>
        <v/>
      </c>
      <c r="H349" s="90" t="str">
        <f ca="1">IFERROR(VLOOKUP(A349,Stammdaten!A$7:F$33,6,FALSE)*F349,"")</f>
        <v/>
      </c>
      <c r="I349" s="1146" t="str">
        <f>IF(AND(E349&gt;0,A349=""),"Beschäftigungsgruppe wählen oder Anzahl = 0","")</f>
        <v/>
      </c>
      <c r="J349" s="1475" t="str">
        <f>IF(AND(E349&gt;0,A349=""),"Beschäftigungsgruppe auswählen oder Anzahl = 0 oder löschen!","")</f>
        <v/>
      </c>
      <c r="K349" s="1475"/>
      <c r="L349" s="1478" t="str">
        <f ca="1">IF(AND(D349&gt;0,E349=0),"Anzahl / Anteil eingeben","")</f>
        <v/>
      </c>
    </row>
    <row r="350" spans="1:12" ht="17.850000000000001" customHeight="1" x14ac:dyDescent="0.45">
      <c r="A350" s="996" t="s">
        <v>113</v>
      </c>
      <c r="B350" s="997"/>
      <c r="C350" s="997"/>
      <c r="D350" s="998"/>
      <c r="E350" s="111">
        <f>SUM(E349:E349)</f>
        <v>0</v>
      </c>
      <c r="F350" s="76">
        <f>SUM(F349:F349)</f>
        <v>0</v>
      </c>
      <c r="G350" s="77">
        <f ca="1">SUM(G349)</f>
        <v>0</v>
      </c>
      <c r="H350" s="159">
        <f ca="1">SUM(H349:H349)</f>
        <v>0</v>
      </c>
      <c r="I350" s="1145"/>
      <c r="J350" s="1475"/>
      <c r="K350" s="1475"/>
      <c r="L350" s="1478"/>
    </row>
    <row r="351" spans="1:12" ht="17.850000000000001" customHeight="1" x14ac:dyDescent="0.45">
      <c r="A351" s="100"/>
      <c r="B351" s="985"/>
      <c r="C351" s="985"/>
      <c r="D351" s="985"/>
      <c r="E351" s="985"/>
      <c r="F351" s="985"/>
      <c r="G351" s="361"/>
      <c r="H351" s="361"/>
      <c r="I351" s="1147"/>
      <c r="J351" s="67"/>
      <c r="K351" s="67"/>
      <c r="L351" s="914"/>
    </row>
    <row r="352" spans="1:12" ht="17.850000000000001" customHeight="1" x14ac:dyDescent="0.45">
      <c r="A352" s="1347" t="s">
        <v>195</v>
      </c>
      <c r="B352" s="1348"/>
      <c r="C352" s="1348"/>
      <c r="D352" s="1348"/>
      <c r="E352" s="1348"/>
      <c r="F352" s="1348"/>
      <c r="G352" s="1348"/>
      <c r="H352" s="313">
        <v>1</v>
      </c>
      <c r="I352" s="1144"/>
      <c r="J352" s="1484" t="str">
        <f>IF(ISBLANK(H352),"Kennzeichen eingeben!","")</f>
        <v/>
      </c>
      <c r="K352" s="1484"/>
      <c r="L352" s="914"/>
    </row>
    <row r="353" spans="1:12" ht="17.850000000000001" customHeight="1" thickBot="1" x14ac:dyDescent="0.5">
      <c r="A353" s="1409" t="s">
        <v>515</v>
      </c>
      <c r="B353" s="1410"/>
      <c r="C353" s="1410"/>
      <c r="D353" s="1410"/>
      <c r="E353" s="565" t="s">
        <v>93</v>
      </c>
      <c r="F353" s="135">
        <f>IF(H352=1,E347,E347-E350)</f>
        <v>1</v>
      </c>
      <c r="G353" s="566" t="s">
        <v>94</v>
      </c>
      <c r="H353" s="160">
        <f>E350</f>
        <v>0</v>
      </c>
      <c r="I353" s="1144"/>
      <c r="J353" s="67"/>
      <c r="K353" s="67"/>
      <c r="L353" s="914"/>
    </row>
    <row r="354" spans="1:12" ht="17.850000000000001" customHeight="1" thickBot="1" x14ac:dyDescent="0.5">
      <c r="A354" s="70"/>
      <c r="B354" s="98"/>
      <c r="C354" s="973"/>
      <c r="D354" s="98" t="s">
        <v>86</v>
      </c>
      <c r="E354" s="973" t="s">
        <v>87</v>
      </c>
      <c r="F354" s="421" t="s">
        <v>164</v>
      </c>
      <c r="G354" s="418" t="s">
        <v>104</v>
      </c>
      <c r="H354" s="419" t="s">
        <v>87</v>
      </c>
      <c r="I354" s="1148"/>
      <c r="J354" s="67"/>
      <c r="K354" s="67"/>
      <c r="L354" s="914"/>
    </row>
    <row r="355" spans="1:12" ht="17.850000000000001" customHeight="1" x14ac:dyDescent="0.45">
      <c r="A355" s="70" t="s">
        <v>89</v>
      </c>
      <c r="B355" s="98"/>
      <c r="C355" s="973"/>
      <c r="D355" s="112">
        <f ca="1">G347*F353</f>
        <v>14</v>
      </c>
      <c r="E355" s="133">
        <f ca="1">F353*H347</f>
        <v>1.39</v>
      </c>
      <c r="F355" s="420" t="s">
        <v>341</v>
      </c>
      <c r="G355" s="77">
        <f ca="1">D355</f>
        <v>14</v>
      </c>
      <c r="H355" s="417">
        <f ca="1">D357</f>
        <v>14</v>
      </c>
      <c r="I355" s="1148"/>
      <c r="J355" s="67"/>
      <c r="K355" s="67"/>
      <c r="L355" s="914"/>
    </row>
    <row r="356" spans="1:12" ht="17.850000000000001" customHeight="1" thickBot="1" x14ac:dyDescent="0.5">
      <c r="A356" s="115" t="s">
        <v>90</v>
      </c>
      <c r="B356" s="116"/>
      <c r="C356" s="117"/>
      <c r="D356" s="118">
        <f ca="1">H353*G350</f>
        <v>0</v>
      </c>
      <c r="E356" s="134">
        <f ca="1">H353*H350</f>
        <v>0</v>
      </c>
      <c r="F356" s="411" t="s">
        <v>340</v>
      </c>
      <c r="G356" s="90">
        <f ca="1">D356</f>
        <v>0</v>
      </c>
      <c r="H356" s="410">
        <f ca="1">E357</f>
        <v>1.39</v>
      </c>
      <c r="I356" s="1148"/>
      <c r="J356" s="67"/>
      <c r="K356" s="67"/>
      <c r="L356" s="914"/>
    </row>
    <row r="357" spans="1:12" ht="17.850000000000001" customHeight="1" x14ac:dyDescent="0.45">
      <c r="A357" s="181"/>
      <c r="B357" s="177"/>
      <c r="C357" s="993" t="s">
        <v>67</v>
      </c>
      <c r="D357" s="182">
        <f ca="1">SUM(D355:D356)</f>
        <v>14</v>
      </c>
      <c r="E357" s="183">
        <f ca="1">SUM(E355:E356)</f>
        <v>1.39</v>
      </c>
      <c r="F357" s="412" t="s">
        <v>105</v>
      </c>
      <c r="G357" s="178">
        <f ca="1">G356/G355</f>
        <v>0</v>
      </c>
      <c r="H357" s="408">
        <f ca="1">H356/H355</f>
        <v>9.9299999999999999E-2</v>
      </c>
      <c r="I357" s="1144"/>
      <c r="J357" s="67"/>
      <c r="K357" s="67"/>
      <c r="L357" s="914"/>
    </row>
    <row r="358" spans="1:12" ht="17.850000000000001" customHeight="1" thickBot="1" x14ac:dyDescent="0.5">
      <c r="A358" s="153"/>
      <c r="B358" s="175"/>
      <c r="C358" s="175" t="s">
        <v>220</v>
      </c>
      <c r="D358" s="184">
        <f ca="1">H$55</f>
        <v>0.12230000000000001</v>
      </c>
      <c r="E358" s="1504" t="s">
        <v>218</v>
      </c>
      <c r="F358" s="1504"/>
      <c r="G358" s="287"/>
      <c r="H358" s="314"/>
      <c r="I358" s="1145" t="str">
        <f>IF(OR(G358&lt;&gt;0,H358&lt;&gt;0),"X","")</f>
        <v/>
      </c>
      <c r="J358" s="67"/>
      <c r="K358" s="67"/>
      <c r="L358" s="914"/>
    </row>
    <row r="359" spans="1:12" ht="17.850000000000001" customHeight="1" x14ac:dyDescent="0.45">
      <c r="A359" s="181"/>
      <c r="B359" s="177"/>
      <c r="C359" s="985"/>
      <c r="D359" s="179"/>
      <c r="E359" s="1505" t="s">
        <v>219</v>
      </c>
      <c r="F359" s="1505"/>
      <c r="G359" s="178">
        <f ca="1">G357+G358</f>
        <v>0</v>
      </c>
      <c r="H359" s="315">
        <f ca="1">H357+H358</f>
        <v>9.9299999999999999E-2</v>
      </c>
      <c r="I359" s="1144"/>
      <c r="J359" s="67"/>
      <c r="K359" s="67"/>
      <c r="L359" s="914"/>
    </row>
    <row r="360" spans="1:12" ht="17.850000000000001" customHeight="1" x14ac:dyDescent="0.45">
      <c r="A360" s="119"/>
      <c r="B360" s="753"/>
      <c r="C360" s="982"/>
      <c r="D360" s="176"/>
      <c r="E360" s="130"/>
      <c r="F360" s="130"/>
      <c r="G360" s="180" t="s">
        <v>169</v>
      </c>
      <c r="H360" s="316" t="s">
        <v>170</v>
      </c>
      <c r="I360" s="1144"/>
      <c r="J360" s="67"/>
      <c r="K360" s="67"/>
      <c r="L360" s="914"/>
    </row>
    <row r="361" spans="1:12" ht="17.850000000000001" customHeight="1" x14ac:dyDescent="0.45">
      <c r="A361" s="775" t="s">
        <v>126</v>
      </c>
      <c r="B361" s="312"/>
      <c r="C361" s="312"/>
      <c r="D361" s="1899" t="str">
        <f>IF(A346=0,"Beschäftigungsgruppe wählen!",A346)</f>
        <v>Qualifizierter Helfer</v>
      </c>
      <c r="E361" s="1899"/>
      <c r="F361" s="1899"/>
      <c r="G361" s="1900"/>
      <c r="H361" s="776">
        <f ca="1">' K3 Regie2'!N$45</f>
        <v>53.52</v>
      </c>
      <c r="I361" s="1144"/>
      <c r="J361" s="67"/>
      <c r="K361" s="67"/>
      <c r="L361" s="914"/>
    </row>
    <row r="362" spans="1:12" ht="17.850000000000001" customHeight="1" x14ac:dyDescent="0.45">
      <c r="A362" s="1502"/>
      <c r="B362" s="1503"/>
      <c r="C362" s="1503"/>
      <c r="D362" s="1503"/>
      <c r="E362" s="1503"/>
      <c r="F362" s="1503"/>
      <c r="G362" s="1503"/>
      <c r="H362" s="1503"/>
      <c r="I362" s="1144"/>
      <c r="J362" s="67"/>
      <c r="K362" s="67"/>
      <c r="L362" s="914"/>
    </row>
    <row r="363" spans="1:12" ht="17.850000000000001" customHeight="1" x14ac:dyDescent="0.45">
      <c r="A363" s="1485" t="s">
        <v>222</v>
      </c>
      <c r="B363" s="1486"/>
      <c r="C363" s="1486"/>
      <c r="D363" s="1487"/>
      <c r="E363" s="1422" t="s">
        <v>155</v>
      </c>
      <c r="F363" s="1422" t="s">
        <v>214</v>
      </c>
      <c r="G363" s="1422" t="s">
        <v>217</v>
      </c>
      <c r="H363" s="1494" t="s">
        <v>156</v>
      </c>
      <c r="I363" s="1149"/>
      <c r="J363" s="67"/>
      <c r="K363" s="67"/>
      <c r="L363" s="914"/>
    </row>
    <row r="364" spans="1:12" ht="17.850000000000001" customHeight="1" x14ac:dyDescent="0.45">
      <c r="A364" s="1488"/>
      <c r="B364" s="1489"/>
      <c r="C364" s="1489"/>
      <c r="D364" s="1490"/>
      <c r="E364" s="1423"/>
      <c r="F364" s="1423"/>
      <c r="G364" s="1423"/>
      <c r="H364" s="1495"/>
      <c r="I364" s="1149"/>
      <c r="J364" s="67"/>
      <c r="K364" s="67"/>
      <c r="L364" s="914"/>
    </row>
    <row r="365" spans="1:12" ht="17.850000000000001" customHeight="1" x14ac:dyDescent="0.45">
      <c r="A365" s="1491"/>
      <c r="B365" s="1492"/>
      <c r="C365" s="1492"/>
      <c r="D365" s="1493"/>
      <c r="E365" s="1424"/>
      <c r="F365" s="1424"/>
      <c r="G365" s="1424"/>
      <c r="H365" s="1496"/>
      <c r="I365" s="1144"/>
      <c r="J365" s="67"/>
      <c r="K365" s="67"/>
      <c r="L365" s="914"/>
    </row>
    <row r="366" spans="1:12" ht="17.850000000000001" customHeight="1" x14ac:dyDescent="0.45">
      <c r="A366" s="1499" t="s">
        <v>319</v>
      </c>
      <c r="B366" s="1499"/>
      <c r="C366" s="1499"/>
      <c r="D366" s="1411"/>
      <c r="E366" s="346">
        <v>0</v>
      </c>
      <c r="F366" s="345"/>
      <c r="G366" s="283">
        <v>0</v>
      </c>
      <c r="H366" s="346">
        <f>IF(ISBLANK(G366),E366,G366)</f>
        <v>0</v>
      </c>
      <c r="I366" s="1145" t="str">
        <f>IF(G366&lt;&gt;0,"X","")</f>
        <v/>
      </c>
      <c r="J366" s="67"/>
      <c r="K366" s="67"/>
      <c r="L366" s="914"/>
    </row>
    <row r="367" spans="1:12" ht="17.850000000000001" customHeight="1" x14ac:dyDescent="0.45">
      <c r="A367" s="1511" t="s">
        <v>152</v>
      </c>
      <c r="B367" s="1512"/>
      <c r="C367" s="1512"/>
      <c r="D367" s="1512"/>
      <c r="E367" s="353">
        <v>1</v>
      </c>
      <c r="F367" s="339"/>
      <c r="G367" s="354"/>
      <c r="H367" s="355">
        <f>IF(F367=1,G367,E367)</f>
        <v>1</v>
      </c>
      <c r="I367" s="1146"/>
      <c r="J367" s="67"/>
      <c r="K367" s="67"/>
      <c r="L367" s="914"/>
    </row>
    <row r="368" spans="1:12" ht="17.850000000000001" customHeight="1" x14ac:dyDescent="0.45">
      <c r="A368" s="1419" t="s">
        <v>471</v>
      </c>
      <c r="B368" s="1420"/>
      <c r="C368" s="1420"/>
      <c r="D368" s="1421"/>
      <c r="E368" s="369"/>
      <c r="F368" s="313">
        <v>0</v>
      </c>
      <c r="G368" s="377"/>
      <c r="H368" s="374"/>
      <c r="I368" s="1145" t="str">
        <f>IF(F368&lt;&gt;0,"X","")</f>
        <v/>
      </c>
      <c r="J368" s="1484" t="str">
        <f>IF(F368+F372+F376&gt;1,"Zusätzlich mit Verrechnungsstd.?","")</f>
        <v/>
      </c>
      <c r="K368" s="1484"/>
      <c r="L368" s="914"/>
    </row>
    <row r="369" spans="1:12" ht="17.850000000000001" customHeight="1" x14ac:dyDescent="0.45">
      <c r="A369" s="340" t="s">
        <v>124</v>
      </c>
      <c r="B369" s="1459"/>
      <c r="C369" s="1459"/>
      <c r="D369" s="1459"/>
      <c r="E369" s="341">
        <f ca="1">IFERROR(VLOOKUP(B369,Stammdaten!A$39:C$48,3,FALSE),"")</f>
        <v>0</v>
      </c>
      <c r="F369" s="373"/>
      <c r="G369" s="379"/>
      <c r="H369" s="375"/>
      <c r="I369" s="1146"/>
      <c r="J369" s="1484" t="str">
        <f ca="1">IF(AND(F368=1,E369=0),"Arbeitszeitzuschlag auswählen!","")</f>
        <v/>
      </c>
      <c r="K369" s="1484"/>
      <c r="L369" s="914"/>
    </row>
    <row r="370" spans="1:12" ht="17.850000000000001" customHeight="1" x14ac:dyDescent="0.45">
      <c r="A370" s="1479" t="s">
        <v>198</v>
      </c>
      <c r="B370" s="1480"/>
      <c r="C370" s="1480"/>
      <c r="D370" s="1480"/>
      <c r="E370" s="342">
        <f ca="1">IFERROR(IF(VLOOKUP(B369,Stammdaten!A$39:C$48,2,FALSE)=0,1,(VLOOKUP(B369,Stammdaten!A$39:C$48,2,FALSE))),"")</f>
        <v>1</v>
      </c>
      <c r="F370" s="373"/>
      <c r="G370" s="378"/>
      <c r="H370" s="376"/>
      <c r="I370" s="1146"/>
      <c r="J370" s="67"/>
      <c r="K370" s="67"/>
      <c r="L370" s="914"/>
    </row>
    <row r="371" spans="1:12" ht="17.850000000000001" customHeight="1" x14ac:dyDescent="0.45">
      <c r="A371" s="1416" t="s">
        <v>474</v>
      </c>
      <c r="B371" s="1417"/>
      <c r="C371" s="1417"/>
      <c r="D371" s="1418"/>
      <c r="E371" s="372"/>
      <c r="F371" s="484">
        <v>4</v>
      </c>
      <c r="G371" s="380">
        <f ca="1">IF(F371=1,1,IF(F371=2,((' K3 Regie2'!O$23+' K3 Regie2'!O$24)/' K3 Regie2'!O$23),IF(F371&gt;2,((' K3 Regie2'!O$23+' K3 Regie2'!O$24+' K3 Regie2'!O$25)/' K3 Regie2'!O$23),"")))</f>
        <v>1.099</v>
      </c>
      <c r="H371" s="375">
        <f>IF(F368*F371&gt;0,(E369*E370*G371),0)</f>
        <v>0</v>
      </c>
      <c r="I371" s="1146"/>
      <c r="J371" s="1484" t="str">
        <f>IF(AND(ISBLANK(F371),F368=1),"Kennzeichen setzen!","")</f>
        <v/>
      </c>
      <c r="K371" s="1484"/>
      <c r="L371" s="914"/>
    </row>
    <row r="372" spans="1:12" ht="17.850000000000001" customHeight="1" x14ac:dyDescent="0.45">
      <c r="A372" s="1419" t="s">
        <v>472</v>
      </c>
      <c r="B372" s="1420"/>
      <c r="C372" s="1420"/>
      <c r="D372" s="1421"/>
      <c r="E372" s="369"/>
      <c r="F372" s="313">
        <v>0</v>
      </c>
      <c r="G372" s="377"/>
      <c r="H372" s="374"/>
      <c r="I372" s="1145" t="str">
        <f>IF(F372&lt;&gt;0,"X","")</f>
        <v/>
      </c>
      <c r="J372" s="1484"/>
      <c r="K372" s="1484"/>
      <c r="L372" s="914"/>
    </row>
    <row r="373" spans="1:12" ht="17.850000000000001" customHeight="1" x14ac:dyDescent="0.45">
      <c r="A373" s="340" t="s">
        <v>329</v>
      </c>
      <c r="B373" s="1459"/>
      <c r="C373" s="1459"/>
      <c r="D373" s="1459"/>
      <c r="E373" s="341">
        <f ca="1">IFERROR(VLOOKUP(B373,Stammdaten!A$50:C$54,3,FALSE),"")</f>
        <v>0</v>
      </c>
      <c r="F373" s="373"/>
      <c r="G373" s="379"/>
      <c r="H373" s="375"/>
      <c r="I373" s="1146"/>
      <c r="J373" s="978"/>
      <c r="K373" s="757"/>
      <c r="L373" s="914"/>
    </row>
    <row r="374" spans="1:12" ht="17.850000000000001" customHeight="1" x14ac:dyDescent="0.45">
      <c r="A374" s="1479" t="s">
        <v>330</v>
      </c>
      <c r="B374" s="1480"/>
      <c r="C374" s="1480"/>
      <c r="D374" s="1480"/>
      <c r="E374" s="342">
        <f ca="1">IFERROR(IF(VLOOKUP(B373,Stammdaten!A$50:C$54,2,FALSE)=0,1,(VLOOKUP(B373,Stammdaten!A$50:C$54,2,FALSE))),"")</f>
        <v>1</v>
      </c>
      <c r="F374" s="373"/>
      <c r="G374" s="378"/>
      <c r="H374" s="376"/>
      <c r="I374" s="1146"/>
      <c r="J374" s="978"/>
      <c r="K374" s="757"/>
      <c r="L374" s="914"/>
    </row>
    <row r="375" spans="1:12" ht="17.850000000000001" customHeight="1" x14ac:dyDescent="0.45">
      <c r="A375" s="1416" t="s">
        <v>474</v>
      </c>
      <c r="B375" s="1417"/>
      <c r="C375" s="1417"/>
      <c r="D375" s="1418"/>
      <c r="E375" s="372"/>
      <c r="F375" s="484">
        <v>4</v>
      </c>
      <c r="G375" s="380">
        <f ca="1">IF(F375=1,1,IF(F375=2,((' K3 Regie2'!O$23+' K3 Regie2'!O$24)/' K3 Regie2'!O$23),IF(F375&gt;2,((' K3 Regie2'!O$23+' K3 Regie2'!O$24+' K3 Regie2'!O$25)/' K3 Regie2'!O$23),"")))</f>
        <v>1.099</v>
      </c>
      <c r="H375" s="375">
        <f>IF(F372*F375&gt;0,(E373*E374*G375),0)</f>
        <v>0</v>
      </c>
      <c r="I375" s="1146"/>
      <c r="J375" s="1484" t="str">
        <f>IF(AND(ISBLANK(F375),F372=1),"Kennzeichen setzen!","")</f>
        <v/>
      </c>
      <c r="K375" s="1484"/>
      <c r="L375" s="914"/>
    </row>
    <row r="376" spans="1:12" ht="17.850000000000001" customHeight="1" x14ac:dyDescent="0.45">
      <c r="A376" s="1419" t="s">
        <v>473</v>
      </c>
      <c r="B376" s="1420"/>
      <c r="C376" s="1420"/>
      <c r="D376" s="1421"/>
      <c r="E376" s="369"/>
      <c r="F376" s="174">
        <v>0</v>
      </c>
      <c r="G376" s="370"/>
      <c r="H376" s="371"/>
      <c r="I376" s="1145" t="str">
        <f>IF(F376&lt;&gt;0,"X","")</f>
        <v/>
      </c>
      <c r="J376" s="1484"/>
      <c r="K376" s="1484"/>
      <c r="L376" s="914"/>
    </row>
    <row r="377" spans="1:12" ht="17.850000000000001" customHeight="1" thickBot="1" x14ac:dyDescent="0.5">
      <c r="A377" s="382" t="s">
        <v>331</v>
      </c>
      <c r="B377" s="1481"/>
      <c r="C377" s="1481"/>
      <c r="D377" s="1481"/>
      <c r="E377" s="383">
        <f ca="1">IFERROR(VLOOKUP(B377,Stammdaten!A$56:C$60,2,FALSE),"")</f>
        <v>0</v>
      </c>
      <c r="F377" s="384" t="s">
        <v>328</v>
      </c>
      <c r="G377" s="385">
        <f ca="1">' K3 Regie2'!$O$21</f>
        <v>14</v>
      </c>
      <c r="H377" s="386">
        <f>IF(F376=1,E377/G377,0)</f>
        <v>0</v>
      </c>
      <c r="I377" s="1146"/>
      <c r="J377" s="978"/>
      <c r="K377" s="757"/>
      <c r="L377" s="914"/>
    </row>
    <row r="378" spans="1:12" ht="17.850000000000001" customHeight="1" thickBot="1" x14ac:dyDescent="0.5">
      <c r="A378" s="1055" t="s">
        <v>157</v>
      </c>
      <c r="B378" s="1056"/>
      <c r="C378" s="1056"/>
      <c r="D378" s="1056"/>
      <c r="E378" s="1057"/>
      <c r="F378" s="1057"/>
      <c r="G378" s="1057"/>
      <c r="H378" s="1058">
        <f>SUM(H368:H377)</f>
        <v>0</v>
      </c>
      <c r="I378" s="1146"/>
      <c r="J378" s="67"/>
      <c r="K378" s="67"/>
      <c r="L378" s="914"/>
    </row>
    <row r="379" spans="1:12" ht="17.850000000000001" customHeight="1" x14ac:dyDescent="0.45">
      <c r="A379" s="1416" t="s">
        <v>324</v>
      </c>
      <c r="B379" s="1417"/>
      <c r="C379" s="1417"/>
      <c r="D379" s="1418"/>
      <c r="E379" s="271">
        <f ca="1">$H$139</f>
        <v>1.21</v>
      </c>
      <c r="F379" s="343"/>
      <c r="G379" s="344"/>
      <c r="H379" s="324">
        <f t="shared" ref="H379:H384" ca="1" si="13">IF(ISBLANK(G379),E379,G379)</f>
        <v>1.21</v>
      </c>
      <c r="I379" s="1145" t="str">
        <f t="shared" ref="I379:I384" ca="1" si="14">IF(OR(G379&lt;&gt;0,E379&lt;&gt;H379),"X","")</f>
        <v/>
      </c>
      <c r="J379" s="67"/>
      <c r="K379" s="67"/>
      <c r="L379" s="914"/>
    </row>
    <row r="380" spans="1:12" ht="17.850000000000001" customHeight="1" x14ac:dyDescent="0.45">
      <c r="A380" s="1411" t="s">
        <v>332</v>
      </c>
      <c r="B380" s="1412"/>
      <c r="C380" s="1412"/>
      <c r="D380" s="1413"/>
      <c r="E380" s="189">
        <f ca="1">$G$138</f>
        <v>0.94</v>
      </c>
      <c r="F380" s="345"/>
      <c r="G380" s="284"/>
      <c r="H380" s="325">
        <f t="shared" ca="1" si="13"/>
        <v>0.94</v>
      </c>
      <c r="I380" s="1145" t="str">
        <f t="shared" ca="1" si="14"/>
        <v/>
      </c>
      <c r="J380" s="67"/>
      <c r="K380" s="67"/>
      <c r="L380" s="914"/>
    </row>
    <row r="381" spans="1:12" ht="17.850000000000001" customHeight="1" x14ac:dyDescent="0.45">
      <c r="A381" s="1411" t="s">
        <v>158</v>
      </c>
      <c r="B381" s="1412"/>
      <c r="C381" s="1412"/>
      <c r="D381" s="1413"/>
      <c r="E381" s="346">
        <f ca="1">$H$179</f>
        <v>0.28110000000000002</v>
      </c>
      <c r="F381" s="345"/>
      <c r="G381" s="283"/>
      <c r="H381" s="347">
        <f t="shared" ca="1" si="13"/>
        <v>0.28110000000000002</v>
      </c>
      <c r="I381" s="1145" t="str">
        <f t="shared" ca="1" si="14"/>
        <v/>
      </c>
      <c r="J381" s="67"/>
      <c r="K381" s="67"/>
      <c r="L381" s="914"/>
    </row>
    <row r="382" spans="1:12" ht="17.850000000000001" customHeight="1" x14ac:dyDescent="0.45">
      <c r="A382" s="1411" t="s">
        <v>325</v>
      </c>
      <c r="B382" s="1412"/>
      <c r="C382" s="1412"/>
      <c r="D382" s="1413"/>
      <c r="E382" s="346">
        <f ca="1">$H$198</f>
        <v>0.82350000000000001</v>
      </c>
      <c r="F382" s="345"/>
      <c r="G382" s="283"/>
      <c r="H382" s="347">
        <f t="shared" ca="1" si="13"/>
        <v>0.82350000000000001</v>
      </c>
      <c r="I382" s="1145" t="str">
        <f t="shared" ca="1" si="14"/>
        <v/>
      </c>
      <c r="J382" s="67"/>
      <c r="K382" s="67"/>
      <c r="L382" s="914"/>
    </row>
    <row r="383" spans="1:12" ht="17.850000000000001" customHeight="1" x14ac:dyDescent="0.45">
      <c r="A383" s="1411" t="s">
        <v>159</v>
      </c>
      <c r="B383" s="1412"/>
      <c r="C383" s="1412"/>
      <c r="D383" s="1413"/>
      <c r="E383" s="346">
        <f ca="1">$H$211</f>
        <v>0</v>
      </c>
      <c r="F383" s="345"/>
      <c r="G383" s="283"/>
      <c r="H383" s="347">
        <f t="shared" ca="1" si="13"/>
        <v>0</v>
      </c>
      <c r="I383" s="1145" t="str">
        <f t="shared" ca="1" si="14"/>
        <v/>
      </c>
      <c r="J383" s="67"/>
      <c r="K383" s="67"/>
      <c r="L383" s="914"/>
    </row>
    <row r="384" spans="1:12" ht="17.850000000000001" customHeight="1" x14ac:dyDescent="0.45">
      <c r="A384" s="1411" t="s">
        <v>160</v>
      </c>
      <c r="B384" s="1412"/>
      <c r="C384" s="1412"/>
      <c r="D384" s="1413"/>
      <c r="E384" s="743">
        <f ca="1">$F$238</f>
        <v>0.18554999999999999</v>
      </c>
      <c r="F384" s="345"/>
      <c r="G384" s="740"/>
      <c r="H384" s="744">
        <f t="shared" ca="1" si="13"/>
        <v>0.18554999999999999</v>
      </c>
      <c r="I384" s="1145" t="str">
        <f t="shared" ca="1" si="14"/>
        <v/>
      </c>
      <c r="J384" s="67"/>
      <c r="K384" s="67"/>
      <c r="L384" s="914"/>
    </row>
    <row r="385" spans="1:12" ht="17.850000000000001" customHeight="1" x14ac:dyDescent="0.45">
      <c r="A385" s="1414" t="s">
        <v>131</v>
      </c>
      <c r="B385" s="1415"/>
      <c r="C385" s="1415"/>
      <c r="D385" s="1415"/>
      <c r="E385" s="1415"/>
      <c r="F385" s="1415"/>
      <c r="G385" s="1415"/>
      <c r="H385" s="1415"/>
      <c r="I385" s="1146"/>
      <c r="J385" s="67"/>
      <c r="K385" s="67"/>
      <c r="L385" s="914"/>
    </row>
    <row r="386" spans="1:12" ht="17.850000000000001" customHeight="1" x14ac:dyDescent="0.45">
      <c r="A386" s="1396" t="s">
        <v>153</v>
      </c>
      <c r="B386" s="1397"/>
      <c r="C386" s="1397"/>
      <c r="D386" s="1397"/>
      <c r="E386" s="387" t="str">
        <f>IF(OR(F$262&lt;&gt;SUM(F387:F389),G$262&lt;&gt;SUM(G387:G389)),"!","")</f>
        <v/>
      </c>
      <c r="F386" s="131" t="s">
        <v>83</v>
      </c>
      <c r="G386" s="131" t="s">
        <v>111</v>
      </c>
      <c r="H386" s="349"/>
      <c r="I386" s="1146"/>
      <c r="J386" s="1475" t="str">
        <f>IF(E386="!","Warnung: Es sind nicht alle Umlagen ausgewählt! Gewollt? Keine Einschränkung der Berechnung.","")</f>
        <v/>
      </c>
      <c r="K386" s="1475"/>
      <c r="L386" s="1478"/>
    </row>
    <row r="387" spans="1:12" ht="17.850000000000001" customHeight="1" x14ac:dyDescent="0.45">
      <c r="A387" s="1453" t="s">
        <v>125</v>
      </c>
      <c r="B387" s="1454"/>
      <c r="C387" s="1454"/>
      <c r="D387" s="1454"/>
      <c r="E387" s="1454"/>
      <c r="F387" s="349" t="str">
        <f>IFERROR(VLOOKUP(A387,A$252:G$256,6,FALSE),"")</f>
        <v/>
      </c>
      <c r="G387" s="359">
        <f>IFERROR(VLOOKUP(A387,A$252:G$256,7,FALSE),"")</f>
        <v>0</v>
      </c>
      <c r="H387" s="163"/>
      <c r="I387" s="1146"/>
      <c r="J387" s="1475"/>
      <c r="K387" s="1475"/>
      <c r="L387" s="1478"/>
    </row>
    <row r="388" spans="1:12" ht="17.850000000000001" customHeight="1" x14ac:dyDescent="0.45">
      <c r="A388" s="1455"/>
      <c r="B388" s="1456"/>
      <c r="C388" s="1456"/>
      <c r="D388" s="1456"/>
      <c r="E388" s="1456"/>
      <c r="F388" s="163" t="str">
        <f>IFERROR(VLOOKUP(A388,A$252:G$256,6,FALSE),"")</f>
        <v/>
      </c>
      <c r="G388" s="356" t="str">
        <f>IFERROR(VLOOKUP(A388,A$252:G$256,7,FALSE),"")</f>
        <v/>
      </c>
      <c r="H388" s="163"/>
      <c r="I388" s="1146"/>
      <c r="J388" s="67"/>
      <c r="K388" s="67"/>
      <c r="L388" s="914"/>
    </row>
    <row r="389" spans="1:12" ht="17.850000000000001" customHeight="1" x14ac:dyDescent="0.45">
      <c r="A389" s="1457"/>
      <c r="B389" s="1458"/>
      <c r="C389" s="1458"/>
      <c r="D389" s="1458"/>
      <c r="E389" s="1458"/>
      <c r="F389" s="159" t="str">
        <f>IFERROR(VLOOKUP(A389,A$252:G$256,6,FALSE),"")</f>
        <v/>
      </c>
      <c r="G389" s="352" t="str">
        <f>IFERROR(VLOOKUP(A389,A$252:G$256,7,FALSE),"")</f>
        <v/>
      </c>
      <c r="H389" s="159"/>
      <c r="I389" s="1146"/>
      <c r="J389" s="67"/>
      <c r="K389" s="67"/>
      <c r="L389" s="914"/>
    </row>
    <row r="390" spans="1:12" ht="17.850000000000001" customHeight="1" x14ac:dyDescent="0.45">
      <c r="A390" s="1347" t="s">
        <v>154</v>
      </c>
      <c r="B390" s="1348"/>
      <c r="C390" s="1348"/>
      <c r="D390" s="1348"/>
      <c r="E390" s="1348"/>
      <c r="F390" s="1348"/>
      <c r="G390" s="1349"/>
      <c r="H390" s="713">
        <f>G267</f>
        <v>0.25802999999999998</v>
      </c>
      <c r="I390" s="1146"/>
      <c r="J390" s="67"/>
      <c r="K390" s="67"/>
      <c r="L390" s="914"/>
    </row>
    <row r="391" spans="1:12" ht="17.850000000000001" customHeight="1" x14ac:dyDescent="0.45">
      <c r="A391" s="1396" t="s">
        <v>162</v>
      </c>
      <c r="B391" s="1397"/>
      <c r="C391" s="1397"/>
      <c r="D391" s="1397"/>
      <c r="E391" s="1397"/>
      <c r="F391" s="1397"/>
      <c r="G391" s="1397"/>
      <c r="H391" s="1397"/>
      <c r="I391" s="1144"/>
      <c r="J391" s="67"/>
      <c r="K391" s="67"/>
      <c r="L391" s="914"/>
    </row>
    <row r="392" spans="1:12" ht="17.850000000000001" customHeight="1" x14ac:dyDescent="0.45">
      <c r="A392" s="1398" t="s">
        <v>683</v>
      </c>
      <c r="B392" s="1399"/>
      <c r="C392" s="1399"/>
      <c r="D392" s="1400"/>
      <c r="E392" s="711">
        <f>IFERROR(VLOOKUP(A392,'K2 GZ'!H$21:L$26,5,FALSE),"&lt;--prüfen")</f>
        <v>0.25802999999999998</v>
      </c>
      <c r="F392" s="1401" t="str">
        <f>IF(OR(E392&lt;0.01,E392=""),"GZ prüfen","")</f>
        <v/>
      </c>
      <c r="G392" s="1402"/>
      <c r="H392" s="712">
        <f>E392</f>
        <v>0.25802999999999998</v>
      </c>
      <c r="I392" s="1146"/>
      <c r="J392" s="67"/>
      <c r="K392" s="67"/>
      <c r="L392" s="914"/>
    </row>
    <row r="393" spans="1:12" ht="17.850000000000001" customHeight="1" thickBot="1" x14ac:dyDescent="0.5">
      <c r="A393" s="775" t="s">
        <v>126</v>
      </c>
      <c r="B393" s="777"/>
      <c r="C393" s="1899" t="str">
        <f>D361</f>
        <v>Qualifizierter Helfer</v>
      </c>
      <c r="D393" s="1899"/>
      <c r="E393" s="1899"/>
      <c r="F393" s="856" t="s">
        <v>595</v>
      </c>
      <c r="G393" s="1024">
        <f ca="1">H393/D346-1</f>
        <v>2.8448000000000002</v>
      </c>
      <c r="H393" s="1025">
        <f ca="1">' K3 Regie2'!N$45</f>
        <v>53.52</v>
      </c>
      <c r="I393" s="1144"/>
      <c r="J393" s="67"/>
      <c r="K393" s="67"/>
      <c r="L393" s="914"/>
    </row>
    <row r="394" spans="1:12" ht="17.850000000000001" customHeight="1" thickBot="1" x14ac:dyDescent="0.5">
      <c r="A394" s="1411"/>
      <c r="B394" s="1412"/>
      <c r="C394" s="1412"/>
      <c r="D394" s="1412"/>
      <c r="E394" s="1412"/>
      <c r="F394" s="1450"/>
      <c r="G394" s="1447"/>
      <c r="H394" s="1448"/>
      <c r="I394" s="1449"/>
      <c r="J394" s="67"/>
      <c r="K394" s="67"/>
      <c r="L394" s="914"/>
    </row>
    <row r="395" spans="1:12" ht="17.850000000000001" customHeight="1" x14ac:dyDescent="0.45">
      <c r="A395" s="1883" t="s">
        <v>446</v>
      </c>
      <c r="B395" s="1884"/>
      <c r="C395" s="1884"/>
      <c r="D395" s="1884"/>
      <c r="E395" s="1884"/>
      <c r="F395" s="1884"/>
      <c r="G395" s="1894"/>
      <c r="H395" s="1894"/>
      <c r="I395" s="1895"/>
      <c r="J395" s="67"/>
      <c r="K395" s="67"/>
      <c r="L395" s="914"/>
    </row>
    <row r="396" spans="1:12" ht="17.850000000000001" customHeight="1" x14ac:dyDescent="0.45">
      <c r="A396" s="1470" t="s">
        <v>447</v>
      </c>
      <c r="B396" s="1471"/>
      <c r="C396" s="1471"/>
      <c r="D396" s="1471"/>
      <c r="E396" s="1471"/>
      <c r="F396" s="1471"/>
      <c r="G396" s="1471"/>
      <c r="H396" s="1471"/>
      <c r="I396" s="1523"/>
      <c r="J396" s="67"/>
      <c r="K396" s="67"/>
      <c r="L396" s="914"/>
    </row>
    <row r="397" spans="1:12" ht="17.850000000000001" customHeight="1" x14ac:dyDescent="0.45">
      <c r="A397" s="1524"/>
      <c r="B397" s="1525"/>
      <c r="C397" s="1525"/>
      <c r="D397" s="1525"/>
      <c r="E397" s="1525"/>
      <c r="F397" s="1525"/>
      <c r="G397" s="1525"/>
      <c r="H397" s="1525"/>
      <c r="I397" s="1526"/>
      <c r="J397" s="67"/>
      <c r="K397" s="67"/>
      <c r="L397" s="914"/>
    </row>
    <row r="398" spans="1:12" ht="17.850000000000001" customHeight="1" x14ac:dyDescent="0.45">
      <c r="A398" s="1472"/>
      <c r="B398" s="1473"/>
      <c r="C398" s="1473"/>
      <c r="D398" s="1473"/>
      <c r="E398" s="1473"/>
      <c r="F398" s="1473"/>
      <c r="G398" s="1473"/>
      <c r="H398" s="1473"/>
      <c r="I398" s="1527"/>
      <c r="J398" s="67"/>
      <c r="K398" s="67"/>
      <c r="L398" s="914"/>
    </row>
    <row r="399" spans="1:12" ht="17.850000000000001" customHeight="1" x14ac:dyDescent="0.45">
      <c r="A399" s="543"/>
      <c r="B399" s="544"/>
      <c r="C399" s="544"/>
      <c r="D399" s="544"/>
      <c r="E399" s="544"/>
      <c r="F399" s="544"/>
      <c r="G399" s="544"/>
      <c r="H399" s="544"/>
      <c r="I399" s="1150"/>
      <c r="J399" s="67"/>
      <c r="K399" s="67"/>
      <c r="L399" s="914"/>
    </row>
    <row r="400" spans="1:12" ht="17.850000000000001" customHeight="1" x14ac:dyDescent="0.65">
      <c r="A400" s="1896" t="s">
        <v>443</v>
      </c>
      <c r="B400" s="1897"/>
      <c r="C400" s="1897"/>
      <c r="D400" s="1897"/>
      <c r="E400" s="1897"/>
      <c r="F400" s="1897"/>
      <c r="G400" s="1897"/>
      <c r="H400" s="1898"/>
      <c r="I400" s="1151"/>
      <c r="J400" s="67"/>
      <c r="K400" s="67"/>
      <c r="L400" s="914"/>
    </row>
    <row r="401" spans="1:12" ht="17.850000000000001" customHeight="1" x14ac:dyDescent="0.45">
      <c r="A401" s="1464" t="str">
        <f>A$12</f>
        <v xml:space="preserve">Bezeichnung (Produktionsfaktor-Nr.): </v>
      </c>
      <c r="B401" s="1465"/>
      <c r="C401" s="1466"/>
      <c r="D401" s="1470" t="s">
        <v>688</v>
      </c>
      <c r="E401" s="1471"/>
      <c r="F401" s="1471"/>
      <c r="G401" s="1471"/>
      <c r="H401" s="1471"/>
      <c r="I401" s="1152"/>
      <c r="J401" s="67"/>
      <c r="K401" s="67"/>
      <c r="L401" s="914"/>
    </row>
    <row r="402" spans="1:12" ht="17.850000000000001" customHeight="1" x14ac:dyDescent="0.45">
      <c r="A402" s="1467"/>
      <c r="B402" s="1468"/>
      <c r="C402" s="1469"/>
      <c r="D402" s="1472"/>
      <c r="E402" s="1473"/>
      <c r="F402" s="1473"/>
      <c r="G402" s="1473"/>
      <c r="H402" s="1473"/>
      <c r="I402" s="1152"/>
      <c r="J402" s="67"/>
      <c r="K402" s="67"/>
      <c r="L402" s="914"/>
    </row>
    <row r="403" spans="1:12" ht="17.850000000000001" customHeight="1" x14ac:dyDescent="0.45">
      <c r="A403" s="1888" t="s">
        <v>221</v>
      </c>
      <c r="B403" s="1888"/>
      <c r="C403" s="1888"/>
      <c r="D403" s="1888"/>
      <c r="E403" s="98" t="s">
        <v>23</v>
      </c>
      <c r="F403" s="98" t="s">
        <v>81</v>
      </c>
      <c r="G403" s="71" t="s">
        <v>86</v>
      </c>
      <c r="H403" s="157" t="s">
        <v>87</v>
      </c>
      <c r="I403" s="1152"/>
      <c r="J403" s="67"/>
      <c r="K403" s="67"/>
      <c r="L403" s="914"/>
    </row>
    <row r="404" spans="1:12" ht="17.850000000000001" customHeight="1" thickBot="1" x14ac:dyDescent="0.5">
      <c r="A404" s="1406" t="s">
        <v>695</v>
      </c>
      <c r="B404" s="1407"/>
      <c r="C404" s="1408"/>
      <c r="D404" s="77" t="str">
        <f ca="1">IFERROR(VLOOKUP(A404,Stammdaten!A$7:D$33,4,FALSE),"&lt;-- Prüfen!")</f>
        <v>&lt;-- Prüfen!</v>
      </c>
      <c r="E404" s="110">
        <v>1</v>
      </c>
      <c r="F404" s="79">
        <v>1</v>
      </c>
      <c r="G404" s="90" t="str">
        <f ca="1">IFERROR(VLOOKUP(A404,Stammdaten!A$7:F$33,4,FALSE)*F404,"")</f>
        <v/>
      </c>
      <c r="H404" s="158" t="str">
        <f ca="1">IFERROR(VLOOKUP(A404,Stammdaten!A$7:F$33,6,FALSE)*F404,"")</f>
        <v/>
      </c>
      <c r="I404" s="1152"/>
      <c r="J404" s="1475"/>
      <c r="K404" s="1475"/>
      <c r="L404" s="1478" t="str">
        <f ca="1">IF(AND(D404&gt;0,E404=0),"Anzahl / Anteil eingeben","")</f>
        <v/>
      </c>
    </row>
    <row r="405" spans="1:12" ht="17.850000000000001" customHeight="1" x14ac:dyDescent="0.45">
      <c r="A405" s="1403" t="s">
        <v>113</v>
      </c>
      <c r="B405" s="1404"/>
      <c r="C405" s="1404"/>
      <c r="D405" s="1405"/>
      <c r="E405" s="75">
        <f>E404</f>
        <v>1</v>
      </c>
      <c r="F405" s="76">
        <v>1</v>
      </c>
      <c r="G405" s="77" t="e">
        <f ca="1">IF(AND(_OK?="OK!",_OK_KV?="OK_KV!"),SUM(G404),ROUNDUP(G404,0))</f>
        <v>#VALUE!</v>
      </c>
      <c r="H405" s="159">
        <f ca="1">SUM(H404:H404)</f>
        <v>0</v>
      </c>
      <c r="I405" s="1153" t="str">
        <f ca="1">IF(OR(_OK?&lt;&gt;"OK!",_OK_KV?&lt;&gt;"OK_KV!"),"X","")</f>
        <v>X</v>
      </c>
      <c r="J405" s="1475"/>
      <c r="K405" s="1475"/>
      <c r="L405" s="1478"/>
    </row>
    <row r="406" spans="1:12" ht="17.850000000000001" customHeight="1" x14ac:dyDescent="0.45">
      <c r="A406" s="1396" t="s">
        <v>316</v>
      </c>
      <c r="B406" s="1397"/>
      <c r="C406" s="1397"/>
      <c r="D406" s="1397"/>
      <c r="E406" s="1397"/>
      <c r="F406" s="1397"/>
      <c r="G406" s="1397"/>
      <c r="H406" s="1397"/>
      <c r="I406" s="1152"/>
      <c r="J406" s="989"/>
      <c r="K406" s="758"/>
      <c r="L406" s="914"/>
    </row>
    <row r="407" spans="1:12" ht="17.850000000000001" customHeight="1" thickBot="1" x14ac:dyDescent="0.5">
      <c r="A407" s="1406"/>
      <c r="B407" s="1407"/>
      <c r="C407" s="1408"/>
      <c r="D407" s="90">
        <f ca="1">IFERROR(VLOOKUP(A407,Stammdaten!A$7:D$33,4,FALSE),"&lt;-- Prüfen!")</f>
        <v>0</v>
      </c>
      <c r="E407" s="286"/>
      <c r="F407" s="79" t="str">
        <f>IF(A407&lt;&gt;"",E407/E408,"")</f>
        <v/>
      </c>
      <c r="G407" s="90" t="str">
        <f ca="1">IFERROR(VLOOKUP(A407,Stammdaten!A$7:F$33,4,FALSE)*F407,"")</f>
        <v/>
      </c>
      <c r="H407" s="90" t="str">
        <f ca="1">IFERROR(VLOOKUP(A407,Stammdaten!A$7:F$33,6,FALSE)*F407,"")</f>
        <v/>
      </c>
      <c r="I407" s="1154" t="str">
        <f>IF(AND(E407&gt;0,A407=""),"Beschäftigungsgruppe wählen oder Anzahl = 0","")</f>
        <v/>
      </c>
      <c r="J407" s="1475" t="str">
        <f>IF(AND(E407&gt;0,A407=""),"Beschäftigungsgruppe auswählen oder Anzahl = 0 oder löschen!","")</f>
        <v/>
      </c>
      <c r="K407" s="1475"/>
      <c r="L407" s="1478" t="str">
        <f ca="1">IF(AND(D407&gt;0,E407=0),"Anzahl / Anteil eingeben","")</f>
        <v/>
      </c>
    </row>
    <row r="408" spans="1:12" ht="17.850000000000001" customHeight="1" x14ac:dyDescent="0.45">
      <c r="A408" s="996" t="s">
        <v>113</v>
      </c>
      <c r="B408" s="997"/>
      <c r="C408" s="997"/>
      <c r="D408" s="998"/>
      <c r="E408" s="111">
        <f>SUM(E407:E407)</f>
        <v>0</v>
      </c>
      <c r="F408" s="76">
        <f>SUM(F407:F407)</f>
        <v>0</v>
      </c>
      <c r="G408" s="77">
        <f ca="1">SUM(G407:G407)</f>
        <v>0</v>
      </c>
      <c r="H408" s="159">
        <f ca="1">SUM(H407:H407)</f>
        <v>0</v>
      </c>
      <c r="I408" s="1152"/>
      <c r="J408" s="1475"/>
      <c r="K408" s="1475"/>
      <c r="L408" s="1478"/>
    </row>
    <row r="409" spans="1:12" ht="17.850000000000001" customHeight="1" x14ac:dyDescent="0.45">
      <c r="A409" s="100"/>
      <c r="B409" s="985"/>
      <c r="C409" s="985"/>
      <c r="D409" s="985"/>
      <c r="E409" s="985"/>
      <c r="F409" s="985"/>
      <c r="G409" s="361"/>
      <c r="H409" s="361"/>
      <c r="I409" s="1155"/>
      <c r="J409" s="67"/>
      <c r="K409" s="67"/>
      <c r="L409" s="914"/>
    </row>
    <row r="410" spans="1:12" ht="17.850000000000001" customHeight="1" x14ac:dyDescent="0.45">
      <c r="A410" s="1347" t="s">
        <v>195</v>
      </c>
      <c r="B410" s="1348"/>
      <c r="C410" s="1348"/>
      <c r="D410" s="1348"/>
      <c r="E410" s="1348"/>
      <c r="F410" s="1348"/>
      <c r="G410" s="1348"/>
      <c r="H410" s="313">
        <v>1</v>
      </c>
      <c r="I410" s="1152"/>
      <c r="J410" s="1484" t="str">
        <f>IF(ISBLANK(H410),"Kennzeichen eingeben!","")</f>
        <v/>
      </c>
      <c r="K410" s="1484"/>
      <c r="L410" s="914"/>
    </row>
    <row r="411" spans="1:12" ht="17.850000000000001" customHeight="1" thickBot="1" x14ac:dyDescent="0.5">
      <c r="A411" s="1409" t="s">
        <v>515</v>
      </c>
      <c r="B411" s="1410"/>
      <c r="C411" s="1410"/>
      <c r="D411" s="1410"/>
      <c r="E411" s="565" t="s">
        <v>93</v>
      </c>
      <c r="F411" s="135">
        <f>IF(H410=1,E405,E405-E408)</f>
        <v>1</v>
      </c>
      <c r="G411" s="566" t="s">
        <v>94</v>
      </c>
      <c r="H411" s="160">
        <f>E408</f>
        <v>0</v>
      </c>
      <c r="I411" s="1152"/>
      <c r="J411" s="67"/>
      <c r="K411" s="67"/>
      <c r="L411" s="914"/>
    </row>
    <row r="412" spans="1:12" ht="17.850000000000001" customHeight="1" thickBot="1" x14ac:dyDescent="0.5">
      <c r="A412" s="70"/>
      <c r="B412" s="98"/>
      <c r="C412" s="973"/>
      <c r="D412" s="98" t="s">
        <v>86</v>
      </c>
      <c r="E412" s="973" t="s">
        <v>87</v>
      </c>
      <c r="F412" s="421" t="s">
        <v>164</v>
      </c>
      <c r="G412" s="418" t="s">
        <v>104</v>
      </c>
      <c r="H412" s="419" t="s">
        <v>87</v>
      </c>
      <c r="I412" s="1156"/>
      <c r="J412" s="67"/>
      <c r="K412" s="67"/>
      <c r="L412" s="914"/>
    </row>
    <row r="413" spans="1:12" ht="17.850000000000001" customHeight="1" x14ac:dyDescent="0.45">
      <c r="A413" s="70" t="s">
        <v>89</v>
      </c>
      <c r="B413" s="98"/>
      <c r="C413" s="973"/>
      <c r="D413" s="112" t="e">
        <f ca="1">G405*F411</f>
        <v>#VALUE!</v>
      </c>
      <c r="E413" s="133">
        <f ca="1">F411*H405</f>
        <v>0</v>
      </c>
      <c r="F413" s="420" t="s">
        <v>341</v>
      </c>
      <c r="G413" s="77" t="e">
        <f ca="1">D413</f>
        <v>#VALUE!</v>
      </c>
      <c r="H413" s="417" t="e">
        <f ca="1">D415</f>
        <v>#VALUE!</v>
      </c>
      <c r="I413" s="1156"/>
      <c r="J413" s="67"/>
      <c r="K413" s="67"/>
      <c r="L413" s="914"/>
    </row>
    <row r="414" spans="1:12" ht="17.850000000000001" customHeight="1" thickBot="1" x14ac:dyDescent="0.5">
      <c r="A414" s="115" t="s">
        <v>90</v>
      </c>
      <c r="B414" s="116"/>
      <c r="C414" s="117"/>
      <c r="D414" s="118">
        <f ca="1">H411*G408</f>
        <v>0</v>
      </c>
      <c r="E414" s="134">
        <f ca="1">H411*H408</f>
        <v>0</v>
      </c>
      <c r="F414" s="411" t="s">
        <v>340</v>
      </c>
      <c r="G414" s="90">
        <f ca="1">D414</f>
        <v>0</v>
      </c>
      <c r="H414" s="410">
        <f ca="1">E415</f>
        <v>0</v>
      </c>
      <c r="I414" s="1156"/>
      <c r="J414" s="67"/>
      <c r="K414" s="67"/>
      <c r="L414" s="914"/>
    </row>
    <row r="415" spans="1:12" ht="17.850000000000001" customHeight="1" x14ac:dyDescent="0.45">
      <c r="A415" s="181"/>
      <c r="B415" s="177"/>
      <c r="C415" s="993" t="s">
        <v>67</v>
      </c>
      <c r="D415" s="182" t="e">
        <f ca="1">SUM(D413:D414)</f>
        <v>#VALUE!</v>
      </c>
      <c r="E415" s="183">
        <f ca="1">SUM(E413:E414)</f>
        <v>0</v>
      </c>
      <c r="F415" s="412" t="s">
        <v>105</v>
      </c>
      <c r="G415" s="178" t="e">
        <f ca="1">G414/G413</f>
        <v>#VALUE!</v>
      </c>
      <c r="H415" s="408" t="e">
        <f ca="1">H414/H413</f>
        <v>#VALUE!</v>
      </c>
      <c r="I415" s="1152"/>
      <c r="J415" s="67"/>
      <c r="K415" s="67"/>
      <c r="L415" s="914"/>
    </row>
    <row r="416" spans="1:12" ht="17.850000000000001" customHeight="1" thickBot="1" x14ac:dyDescent="0.5">
      <c r="A416" s="153"/>
      <c r="B416" s="175"/>
      <c r="C416" s="175" t="s">
        <v>220</v>
      </c>
      <c r="D416" s="184">
        <f ca="1">H$55</f>
        <v>0.12230000000000001</v>
      </c>
      <c r="E416" s="1504" t="s">
        <v>218</v>
      </c>
      <c r="F416" s="1504"/>
      <c r="G416" s="287"/>
      <c r="H416" s="314"/>
      <c r="I416" s="1153" t="str">
        <f>IF(OR(G416&lt;&gt;0,H416&lt;&gt;0),"X","")</f>
        <v/>
      </c>
      <c r="J416" s="67"/>
      <c r="K416" s="67"/>
      <c r="L416" s="914"/>
    </row>
    <row r="417" spans="1:12" ht="17.850000000000001" customHeight="1" x14ac:dyDescent="0.45">
      <c r="A417" s="181"/>
      <c r="B417" s="177"/>
      <c r="C417" s="985"/>
      <c r="D417" s="179"/>
      <c r="E417" s="1505" t="s">
        <v>219</v>
      </c>
      <c r="F417" s="1505"/>
      <c r="G417" s="178" t="e">
        <f ca="1">G415+G416</f>
        <v>#VALUE!</v>
      </c>
      <c r="H417" s="315" t="e">
        <f ca="1">H415+H416</f>
        <v>#VALUE!</v>
      </c>
      <c r="I417" s="1152"/>
      <c r="J417" s="67"/>
      <c r="K417" s="67"/>
      <c r="L417" s="914"/>
    </row>
    <row r="418" spans="1:12" ht="17.850000000000001" customHeight="1" x14ac:dyDescent="0.45">
      <c r="A418" s="119"/>
      <c r="B418" s="753"/>
      <c r="C418" s="982"/>
      <c r="D418" s="176"/>
      <c r="E418" s="130"/>
      <c r="F418" s="130"/>
      <c r="G418" s="180" t="s">
        <v>169</v>
      </c>
      <c r="H418" s="316" t="s">
        <v>170</v>
      </c>
      <c r="I418" s="1152"/>
      <c r="J418" s="67"/>
      <c r="K418" s="67"/>
      <c r="L418" s="914"/>
    </row>
    <row r="419" spans="1:12" ht="17.850000000000001" customHeight="1" x14ac:dyDescent="0.45">
      <c r="A419" s="1104" t="s">
        <v>126</v>
      </c>
      <c r="B419" s="1105"/>
      <c r="C419" s="1105"/>
      <c r="D419" s="1500" t="str">
        <f>IF(A404=0,"Beschäftigungsgruppe wählen!",A404)</f>
        <v>6. Hilfsarbeiter</v>
      </c>
      <c r="E419" s="1500"/>
      <c r="F419" s="1500"/>
      <c r="G419" s="1501"/>
      <c r="H419" s="1108" t="e">
        <f ca="1">' K3 Regie3'!N$45</f>
        <v>#VALUE!</v>
      </c>
      <c r="I419" s="1152"/>
      <c r="J419" s="67"/>
      <c r="K419" s="67"/>
      <c r="L419" s="914"/>
    </row>
    <row r="420" spans="1:12" ht="17.850000000000001" customHeight="1" x14ac:dyDescent="0.45">
      <c r="A420" s="1502"/>
      <c r="B420" s="1503"/>
      <c r="C420" s="1503"/>
      <c r="D420" s="1503"/>
      <c r="E420" s="1503"/>
      <c r="F420" s="1503"/>
      <c r="G420" s="1503"/>
      <c r="H420" s="1503"/>
      <c r="I420" s="1152"/>
      <c r="J420" s="67"/>
      <c r="K420" s="67"/>
      <c r="L420" s="914"/>
    </row>
    <row r="421" spans="1:12" ht="17.850000000000001" customHeight="1" x14ac:dyDescent="0.45">
      <c r="A421" s="1485" t="s">
        <v>222</v>
      </c>
      <c r="B421" s="1486"/>
      <c r="C421" s="1486"/>
      <c r="D421" s="1487"/>
      <c r="E421" s="1422" t="s">
        <v>155</v>
      </c>
      <c r="F421" s="1422" t="s">
        <v>214</v>
      </c>
      <c r="G421" s="1422" t="s">
        <v>217</v>
      </c>
      <c r="H421" s="1494" t="s">
        <v>156</v>
      </c>
      <c r="I421" s="1157"/>
      <c r="J421" s="67"/>
      <c r="K421" s="67"/>
      <c r="L421" s="914"/>
    </row>
    <row r="422" spans="1:12" ht="17.850000000000001" customHeight="1" x14ac:dyDescent="0.45">
      <c r="A422" s="1488"/>
      <c r="B422" s="1489"/>
      <c r="C422" s="1489"/>
      <c r="D422" s="1490"/>
      <c r="E422" s="1423"/>
      <c r="F422" s="1423"/>
      <c r="G422" s="1423"/>
      <c r="H422" s="1495"/>
      <c r="I422" s="1157"/>
      <c r="J422" s="67"/>
      <c r="K422" s="67"/>
      <c r="L422" s="914"/>
    </row>
    <row r="423" spans="1:12" ht="17.850000000000001" customHeight="1" x14ac:dyDescent="0.45">
      <c r="A423" s="1491"/>
      <c r="B423" s="1492"/>
      <c r="C423" s="1492"/>
      <c r="D423" s="1493"/>
      <c r="E423" s="1424"/>
      <c r="F423" s="1424"/>
      <c r="G423" s="1424"/>
      <c r="H423" s="1496"/>
      <c r="I423" s="1152"/>
      <c r="J423" s="67"/>
      <c r="K423" s="67"/>
      <c r="L423" s="914"/>
    </row>
    <row r="424" spans="1:12" ht="17.850000000000001" customHeight="1" x14ac:dyDescent="0.45">
      <c r="A424" s="1499" t="s">
        <v>319</v>
      </c>
      <c r="B424" s="1499"/>
      <c r="C424" s="1499"/>
      <c r="D424" s="1411"/>
      <c r="E424" s="346">
        <v>0</v>
      </c>
      <c r="F424" s="345"/>
      <c r="G424" s="283"/>
      <c r="H424" s="346">
        <f>IF(ISBLANK(G424),E424,G424)</f>
        <v>0</v>
      </c>
      <c r="I424" s="1153" t="str">
        <f>IF(G424&lt;&gt;0,"X","")</f>
        <v/>
      </c>
      <c r="J424" s="67"/>
      <c r="K424" s="67"/>
      <c r="L424" s="914"/>
    </row>
    <row r="425" spans="1:12" ht="17.850000000000001" customHeight="1" x14ac:dyDescent="0.45">
      <c r="A425" s="1511" t="s">
        <v>152</v>
      </c>
      <c r="B425" s="1512"/>
      <c r="C425" s="1512"/>
      <c r="D425" s="1512"/>
      <c r="E425" s="353">
        <v>1</v>
      </c>
      <c r="F425" s="339"/>
      <c r="G425" s="354"/>
      <c r="H425" s="355">
        <f>IF(F425=1,G425,E425)</f>
        <v>1</v>
      </c>
      <c r="I425" s="1154"/>
      <c r="J425" s="67"/>
      <c r="K425" s="67"/>
      <c r="L425" s="914"/>
    </row>
    <row r="426" spans="1:12" ht="17.850000000000001" customHeight="1" x14ac:dyDescent="0.45">
      <c r="A426" s="1419" t="s">
        <v>471</v>
      </c>
      <c r="B426" s="1420"/>
      <c r="C426" s="1420"/>
      <c r="D426" s="1421"/>
      <c r="E426" s="369"/>
      <c r="F426" s="313">
        <v>0</v>
      </c>
      <c r="G426" s="377"/>
      <c r="H426" s="374"/>
      <c r="I426" s="1153" t="str">
        <f>IF(F426&lt;&gt;0,"X","")</f>
        <v/>
      </c>
      <c r="J426" s="1484" t="str">
        <f>IF(F426+F430+F434&gt;1,"Zusätzlich mit Verrechnungsstd.?","")</f>
        <v/>
      </c>
      <c r="K426" s="1484"/>
      <c r="L426" s="914"/>
    </row>
    <row r="427" spans="1:12" ht="17.850000000000001" customHeight="1" x14ac:dyDescent="0.45">
      <c r="A427" s="340" t="s">
        <v>124</v>
      </c>
      <c r="B427" s="1459"/>
      <c r="C427" s="1459"/>
      <c r="D427" s="1459"/>
      <c r="E427" s="341">
        <f ca="1">IFERROR(VLOOKUP(B427,Stammdaten!A$39:C$48,3,FALSE),"")</f>
        <v>0</v>
      </c>
      <c r="F427" s="373"/>
      <c r="G427" s="379"/>
      <c r="H427" s="375"/>
      <c r="I427" s="1154"/>
      <c r="J427" s="1484" t="str">
        <f ca="1">IF(AND(F426=1,E427=0),"Arbeitszeitzuschlag auswählen!","")</f>
        <v/>
      </c>
      <c r="K427" s="1484"/>
      <c r="L427" s="914"/>
    </row>
    <row r="428" spans="1:12" ht="17.850000000000001" customHeight="1" x14ac:dyDescent="0.45">
      <c r="A428" s="1479" t="s">
        <v>198</v>
      </c>
      <c r="B428" s="1480"/>
      <c r="C428" s="1480"/>
      <c r="D428" s="1480"/>
      <c r="E428" s="342">
        <f ca="1">IFERROR(IF(VLOOKUP(B427,Stammdaten!A$39:C$48,2,FALSE)=0,1,(VLOOKUP(B427,Stammdaten!A$39:C$48,2,FALSE))),"")</f>
        <v>1</v>
      </c>
      <c r="F428" s="373"/>
      <c r="G428" s="378"/>
      <c r="H428" s="376"/>
      <c r="I428" s="1154"/>
      <c r="J428" s="67"/>
      <c r="K428" s="67"/>
      <c r="L428" s="914"/>
    </row>
    <row r="429" spans="1:12" ht="17.850000000000001" customHeight="1" x14ac:dyDescent="0.45">
      <c r="A429" s="1416" t="s">
        <v>474</v>
      </c>
      <c r="B429" s="1417"/>
      <c r="C429" s="1417"/>
      <c r="D429" s="1418"/>
      <c r="E429" s="372"/>
      <c r="F429" s="484"/>
      <c r="G429" s="380" t="str">
        <f>IF(F429=1,1,IF(F429=2,((' K3 Regie3'!O$23+' K3 Regie3'!O$24)/' K3 Regie3'!O$23),IF(F429&gt;2,((' K3 Regie3'!O$23+' K3 Regie3'!O$24+' K3 Regie3'!O$25)/' K3 Regie3'!O$23),"")))</f>
        <v/>
      </c>
      <c r="H429" s="375">
        <f>IF(F426*F429&gt;0,(E427*E428*G429),0)</f>
        <v>0</v>
      </c>
      <c r="I429" s="1154"/>
      <c r="J429" s="1484" t="str">
        <f>IF(AND(ISBLANK(F429),F426=1),"Kennzeichen setzen!","")</f>
        <v/>
      </c>
      <c r="K429" s="1484"/>
      <c r="L429" s="914"/>
    </row>
    <row r="430" spans="1:12" ht="17.850000000000001" customHeight="1" x14ac:dyDescent="0.45">
      <c r="A430" s="1419" t="s">
        <v>472</v>
      </c>
      <c r="B430" s="1420"/>
      <c r="C430" s="1420"/>
      <c r="D430" s="1421"/>
      <c r="E430" s="369"/>
      <c r="F430" s="313">
        <v>0</v>
      </c>
      <c r="G430" s="377"/>
      <c r="H430" s="374"/>
      <c r="I430" s="1153" t="str">
        <f>IF(F430&lt;&gt;0,"X","")</f>
        <v/>
      </c>
      <c r="J430" s="1484"/>
      <c r="K430" s="1484"/>
      <c r="L430" s="914"/>
    </row>
    <row r="431" spans="1:12" ht="17.850000000000001" customHeight="1" x14ac:dyDescent="0.45">
      <c r="A431" s="340" t="s">
        <v>329</v>
      </c>
      <c r="B431" s="1459"/>
      <c r="C431" s="1459"/>
      <c r="D431" s="1459"/>
      <c r="E431" s="341">
        <f ca="1">IFERROR(VLOOKUP(B431,Stammdaten!A$50:C$54,3,FALSE),"")</f>
        <v>0</v>
      </c>
      <c r="F431" s="373"/>
      <c r="G431" s="379"/>
      <c r="H431" s="375"/>
      <c r="I431" s="1154"/>
      <c r="J431" s="978"/>
      <c r="K431" s="757"/>
      <c r="L431" s="914"/>
    </row>
    <row r="432" spans="1:12" ht="17.850000000000001" customHeight="1" x14ac:dyDescent="0.45">
      <c r="A432" s="1479" t="s">
        <v>330</v>
      </c>
      <c r="B432" s="1480"/>
      <c r="C432" s="1480"/>
      <c r="D432" s="1480"/>
      <c r="E432" s="342">
        <f ca="1">IFERROR(IF(VLOOKUP(B431,Stammdaten!A$50:C$54,2,FALSE)=0,1,(VLOOKUP(B431,Stammdaten!A$50:C$54,2,FALSE))),"")</f>
        <v>1</v>
      </c>
      <c r="F432" s="373"/>
      <c r="G432" s="378"/>
      <c r="H432" s="376"/>
      <c r="I432" s="1154"/>
      <c r="J432" s="978"/>
      <c r="K432" s="757"/>
      <c r="L432" s="914"/>
    </row>
    <row r="433" spans="1:12" ht="17.850000000000001" customHeight="1" x14ac:dyDescent="0.45">
      <c r="A433" s="1416" t="s">
        <v>474</v>
      </c>
      <c r="B433" s="1417"/>
      <c r="C433" s="1417"/>
      <c r="D433" s="1418"/>
      <c r="E433" s="372"/>
      <c r="F433" s="484"/>
      <c r="G433" s="380" t="str">
        <f>IF(F433=1,1,IF(F433=2,((' K3 Regie3'!O$23+' K3 Regie3'!O$24)/' K3 Regie3'!O$23),IF(F433&gt;2,((' K3 Regie3'!O$23+' K3 Regie3'!O$24+' K3 Regie3'!O$25)/' K3 Regie3'!O$23),"")))</f>
        <v/>
      </c>
      <c r="H433" s="375">
        <f>IF(F430*F433&gt;0,(E431*E432*G433),0)</f>
        <v>0</v>
      </c>
      <c r="I433" s="1154"/>
      <c r="J433" s="1484" t="str">
        <f>IF(AND(ISBLANK(F433),F430=1),"Kennzeichen setzen!","")</f>
        <v/>
      </c>
      <c r="K433" s="1484"/>
      <c r="L433" s="914"/>
    </row>
    <row r="434" spans="1:12" ht="17.850000000000001" customHeight="1" x14ac:dyDescent="0.45">
      <c r="A434" s="1419" t="s">
        <v>473</v>
      </c>
      <c r="B434" s="1420"/>
      <c r="C434" s="1420"/>
      <c r="D434" s="1421"/>
      <c r="E434" s="369"/>
      <c r="F434" s="174">
        <v>0</v>
      </c>
      <c r="G434" s="370"/>
      <c r="H434" s="371"/>
      <c r="I434" s="1153" t="str">
        <f>IF(F434&lt;&gt;0,"X","")</f>
        <v/>
      </c>
      <c r="J434" s="1484"/>
      <c r="K434" s="1484"/>
      <c r="L434" s="914"/>
    </row>
    <row r="435" spans="1:12" ht="17.850000000000001" customHeight="1" thickBot="1" x14ac:dyDescent="0.5">
      <c r="A435" s="382" t="s">
        <v>331</v>
      </c>
      <c r="B435" s="1481"/>
      <c r="C435" s="1481"/>
      <c r="D435" s="1481"/>
      <c r="E435" s="383">
        <f ca="1">IFERROR(VLOOKUP(B435,Stammdaten!A$56:C$60,2,FALSE),"")</f>
        <v>0</v>
      </c>
      <c r="F435" s="384" t="s">
        <v>328</v>
      </c>
      <c r="G435" s="385" t="e">
        <f ca="1">' K3 Regie3'!$O$21</f>
        <v>#VALUE!</v>
      </c>
      <c r="H435" s="386">
        <f>IF(F434=1,E435/G435,0)</f>
        <v>0</v>
      </c>
      <c r="I435" s="1154"/>
      <c r="J435" s="978"/>
      <c r="K435" s="757"/>
      <c r="L435" s="914"/>
    </row>
    <row r="436" spans="1:12" ht="17.850000000000001" customHeight="1" thickBot="1" x14ac:dyDescent="0.5">
      <c r="A436" s="1055" t="s">
        <v>157</v>
      </c>
      <c r="B436" s="1056"/>
      <c r="C436" s="1056"/>
      <c r="D436" s="1056"/>
      <c r="E436" s="1057"/>
      <c r="F436" s="1057"/>
      <c r="G436" s="1057"/>
      <c r="H436" s="1058">
        <f>SUM(H426:H435)</f>
        <v>0</v>
      </c>
      <c r="I436" s="1154"/>
      <c r="J436" s="67"/>
      <c r="K436" s="67"/>
      <c r="L436" s="914"/>
    </row>
    <row r="437" spans="1:12" ht="17.850000000000001" customHeight="1" x14ac:dyDescent="0.45">
      <c r="A437" s="1416" t="s">
        <v>324</v>
      </c>
      <c r="B437" s="1417"/>
      <c r="C437" s="1417"/>
      <c r="D437" s="1418"/>
      <c r="E437" s="271">
        <f ca="1">$H$139</f>
        <v>1.21</v>
      </c>
      <c r="F437" s="343"/>
      <c r="G437" s="344"/>
      <c r="H437" s="324">
        <f t="shared" ref="H437:H442" ca="1" si="15">IF(ISBLANK(G437),E437,G437)</f>
        <v>1.21</v>
      </c>
      <c r="I437" s="1153" t="str">
        <f t="shared" ref="I437:I442" ca="1" si="16">IF(OR(G437&lt;&gt;0,E437&lt;&gt;H437),"X","")</f>
        <v/>
      </c>
      <c r="J437" s="67"/>
      <c r="K437" s="67"/>
      <c r="L437" s="914"/>
    </row>
    <row r="438" spans="1:12" ht="17.850000000000001" customHeight="1" x14ac:dyDescent="0.45">
      <c r="A438" s="1411" t="s">
        <v>332</v>
      </c>
      <c r="B438" s="1412"/>
      <c r="C438" s="1412"/>
      <c r="D438" s="1413"/>
      <c r="E438" s="189">
        <f ca="1">$G$138</f>
        <v>0.94</v>
      </c>
      <c r="F438" s="345"/>
      <c r="G438" s="284"/>
      <c r="H438" s="325">
        <f t="shared" ca="1" si="15"/>
        <v>0.94</v>
      </c>
      <c r="I438" s="1153" t="str">
        <f t="shared" ca="1" si="16"/>
        <v/>
      </c>
      <c r="J438" s="67"/>
      <c r="K438" s="67"/>
      <c r="L438" s="914"/>
    </row>
    <row r="439" spans="1:12" ht="17.850000000000001" customHeight="1" x14ac:dyDescent="0.45">
      <c r="A439" s="1411" t="s">
        <v>158</v>
      </c>
      <c r="B439" s="1412"/>
      <c r="C439" s="1412"/>
      <c r="D439" s="1413"/>
      <c r="E439" s="346">
        <f ca="1">$H$179</f>
        <v>0.28110000000000002</v>
      </c>
      <c r="F439" s="345"/>
      <c r="G439" s="283"/>
      <c r="H439" s="347">
        <f t="shared" ca="1" si="15"/>
        <v>0.28110000000000002</v>
      </c>
      <c r="I439" s="1153" t="str">
        <f t="shared" ca="1" si="16"/>
        <v/>
      </c>
      <c r="J439" s="67"/>
      <c r="K439" s="67"/>
      <c r="L439" s="914"/>
    </row>
    <row r="440" spans="1:12" ht="17.850000000000001" customHeight="1" x14ac:dyDescent="0.45">
      <c r="A440" s="1411" t="s">
        <v>325</v>
      </c>
      <c r="B440" s="1412"/>
      <c r="C440" s="1412"/>
      <c r="D440" s="1413"/>
      <c r="E440" s="346">
        <f ca="1">$H$198</f>
        <v>0.82350000000000001</v>
      </c>
      <c r="F440" s="345"/>
      <c r="G440" s="283"/>
      <c r="H440" s="347">
        <f t="shared" ca="1" si="15"/>
        <v>0.82350000000000001</v>
      </c>
      <c r="I440" s="1153" t="str">
        <f t="shared" ca="1" si="16"/>
        <v/>
      </c>
      <c r="J440" s="67"/>
      <c r="K440" s="67"/>
      <c r="L440" s="914"/>
    </row>
    <row r="441" spans="1:12" ht="17.850000000000001" customHeight="1" x14ac:dyDescent="0.45">
      <c r="A441" s="1411" t="s">
        <v>159</v>
      </c>
      <c r="B441" s="1412"/>
      <c r="C441" s="1412"/>
      <c r="D441" s="1413"/>
      <c r="E441" s="346">
        <f ca="1">$H$211</f>
        <v>0</v>
      </c>
      <c r="F441" s="345"/>
      <c r="G441" s="283"/>
      <c r="H441" s="347">
        <f t="shared" ca="1" si="15"/>
        <v>0</v>
      </c>
      <c r="I441" s="1153" t="str">
        <f t="shared" ca="1" si="16"/>
        <v/>
      </c>
      <c r="J441" s="67"/>
      <c r="K441" s="67"/>
      <c r="L441" s="914"/>
    </row>
    <row r="442" spans="1:12" ht="17.850000000000001" customHeight="1" x14ac:dyDescent="0.45">
      <c r="A442" s="1411" t="s">
        <v>160</v>
      </c>
      <c r="B442" s="1412"/>
      <c r="C442" s="1412"/>
      <c r="D442" s="1413"/>
      <c r="E442" s="743">
        <f ca="1">$F$238</f>
        <v>0.18554999999999999</v>
      </c>
      <c r="F442" s="345"/>
      <c r="G442" s="740"/>
      <c r="H442" s="744">
        <f t="shared" ca="1" si="15"/>
        <v>0.18554999999999999</v>
      </c>
      <c r="I442" s="1153" t="str">
        <f t="shared" ca="1" si="16"/>
        <v/>
      </c>
      <c r="J442" s="67"/>
      <c r="K442" s="67"/>
      <c r="L442" s="914"/>
    </row>
    <row r="443" spans="1:12" ht="17.850000000000001" customHeight="1" x14ac:dyDescent="0.45">
      <c r="A443" s="1414" t="s">
        <v>131</v>
      </c>
      <c r="B443" s="1415"/>
      <c r="C443" s="1415"/>
      <c r="D443" s="1415"/>
      <c r="E443" s="1415"/>
      <c r="F443" s="1415"/>
      <c r="G443" s="1415"/>
      <c r="H443" s="1415"/>
      <c r="I443" s="1154"/>
      <c r="J443" s="67"/>
      <c r="K443" s="67"/>
      <c r="L443" s="914"/>
    </row>
    <row r="444" spans="1:12" ht="17.850000000000001" customHeight="1" x14ac:dyDescent="0.45">
      <c r="A444" s="1396" t="s">
        <v>153</v>
      </c>
      <c r="B444" s="1397"/>
      <c r="C444" s="1397"/>
      <c r="D444" s="1397"/>
      <c r="E444" s="387" t="str">
        <f>IF(OR(F$262&lt;&gt;SUM(F445:F447),G$262&lt;&gt;SUM(G445:G447)),"!","")</f>
        <v/>
      </c>
      <c r="F444" s="131" t="s">
        <v>83</v>
      </c>
      <c r="G444" s="131" t="s">
        <v>111</v>
      </c>
      <c r="H444" s="349"/>
      <c r="I444" s="1154"/>
      <c r="J444" s="1475" t="str">
        <f>IF(E444="!","Warnung: Es sind nicht alle Umlagen ausgewählt! Gewollt? Keine Einschränkung der Berechnung.","")</f>
        <v/>
      </c>
      <c r="K444" s="1475"/>
      <c r="L444" s="1478"/>
    </row>
    <row r="445" spans="1:12" ht="17.850000000000001" customHeight="1" x14ac:dyDescent="0.45">
      <c r="A445" s="1453"/>
      <c r="B445" s="1454"/>
      <c r="C445" s="1454"/>
      <c r="D445" s="1454"/>
      <c r="E445" s="1454"/>
      <c r="F445" s="349" t="str">
        <f>IFERROR(VLOOKUP(A445,A$252:G$256,6,FALSE),"")</f>
        <v/>
      </c>
      <c r="G445" s="359" t="str">
        <f>IFERROR(VLOOKUP(A445,A$252:G$256,7,FALSE),"")</f>
        <v/>
      </c>
      <c r="H445" s="163"/>
      <c r="I445" s="1154"/>
      <c r="J445" s="1475"/>
      <c r="K445" s="1475"/>
      <c r="L445" s="1478"/>
    </row>
    <row r="446" spans="1:12" ht="17.850000000000001" customHeight="1" x14ac:dyDescent="0.45">
      <c r="A446" s="1455"/>
      <c r="B446" s="1456"/>
      <c r="C446" s="1456"/>
      <c r="D446" s="1456"/>
      <c r="E446" s="1456"/>
      <c r="F446" s="163" t="str">
        <f>IFERROR(VLOOKUP(A446,A$252:G$256,6,FALSE),"")</f>
        <v/>
      </c>
      <c r="G446" s="356" t="str">
        <f>IFERROR(VLOOKUP(A446,A$252:G$256,7,FALSE),"")</f>
        <v/>
      </c>
      <c r="H446" s="163"/>
      <c r="I446" s="1154"/>
      <c r="J446" s="67"/>
      <c r="K446" s="67"/>
      <c r="L446" s="914"/>
    </row>
    <row r="447" spans="1:12" ht="17.850000000000001" customHeight="1" x14ac:dyDescent="0.45">
      <c r="A447" s="1457"/>
      <c r="B447" s="1458"/>
      <c r="C447" s="1458"/>
      <c r="D447" s="1458"/>
      <c r="E447" s="1458"/>
      <c r="F447" s="159" t="str">
        <f>IFERROR(VLOOKUP(A447,A$252:G$256,6,FALSE),"")</f>
        <v/>
      </c>
      <c r="G447" s="352" t="str">
        <f>IFERROR(VLOOKUP(A447,A$252:G$256,7,FALSE),"")</f>
        <v/>
      </c>
      <c r="H447" s="159"/>
      <c r="I447" s="1154"/>
      <c r="J447" s="67"/>
      <c r="K447" s="67"/>
      <c r="L447" s="914"/>
    </row>
    <row r="448" spans="1:12" ht="17.850000000000001" customHeight="1" x14ac:dyDescent="0.45">
      <c r="A448" s="1347" t="s">
        <v>154</v>
      </c>
      <c r="B448" s="1348"/>
      <c r="C448" s="1348"/>
      <c r="D448" s="1348"/>
      <c r="E448" s="1348"/>
      <c r="F448" s="1348"/>
      <c r="G448" s="1349"/>
      <c r="H448" s="713">
        <f>G267</f>
        <v>0.25802999999999998</v>
      </c>
      <c r="I448" s="1154"/>
      <c r="J448" s="67"/>
      <c r="K448" s="67"/>
      <c r="L448" s="914"/>
    </row>
    <row r="449" spans="1:12" ht="17.850000000000001" customHeight="1" x14ac:dyDescent="0.45">
      <c r="A449" s="1396" t="s">
        <v>162</v>
      </c>
      <c r="B449" s="1397"/>
      <c r="C449" s="1397"/>
      <c r="D449" s="1397"/>
      <c r="E449" s="1397"/>
      <c r="F449" s="1397"/>
      <c r="G449" s="1397"/>
      <c r="H449" s="1397"/>
      <c r="I449" s="1152"/>
      <c r="J449" s="67"/>
      <c r="K449" s="67"/>
      <c r="L449" s="914"/>
    </row>
    <row r="450" spans="1:12" ht="17.850000000000001" customHeight="1" x14ac:dyDescent="0.45">
      <c r="A450" s="1398" t="s">
        <v>683</v>
      </c>
      <c r="B450" s="1399"/>
      <c r="C450" s="1399"/>
      <c r="D450" s="1400"/>
      <c r="E450" s="711">
        <f>IFERROR(VLOOKUP(A450,'K2 GZ'!H$21:L$26,5,FALSE),"&lt;--prüfen")</f>
        <v>0.25802999999999998</v>
      </c>
      <c r="F450" s="1401" t="str">
        <f>IF(OR(E450&lt;0.01,E450=""),"GZ prüfen","")</f>
        <v/>
      </c>
      <c r="G450" s="1402"/>
      <c r="H450" s="712">
        <f>E450</f>
        <v>0.25802999999999998</v>
      </c>
      <c r="I450" s="1154"/>
      <c r="J450" s="67"/>
      <c r="K450" s="67"/>
      <c r="L450" s="914"/>
    </row>
    <row r="451" spans="1:12" ht="17.850000000000001" customHeight="1" x14ac:dyDescent="0.45">
      <c r="A451" s="1104" t="s">
        <v>126</v>
      </c>
      <c r="B451" s="1105"/>
      <c r="C451" s="1516" t="str">
        <f>D419</f>
        <v>6. Hilfsarbeiter</v>
      </c>
      <c r="D451" s="1516"/>
      <c r="E451" s="1516"/>
      <c r="F451" s="1106" t="s">
        <v>595</v>
      </c>
      <c r="G451" s="1107" t="e">
        <f ca="1">H451/D404-1</f>
        <v>#VALUE!</v>
      </c>
      <c r="H451" s="1108" t="e">
        <f ca="1">' K3 Regie3'!N$45</f>
        <v>#VALUE!</v>
      </c>
      <c r="I451" s="1158"/>
      <c r="J451" s="67"/>
      <c r="K451" s="67"/>
      <c r="L451" s="914"/>
    </row>
    <row r="452" spans="1:12" ht="17.850000000000001" customHeight="1" x14ac:dyDescent="0.45">
      <c r="A452" s="1330"/>
      <c r="B452" s="1428"/>
      <c r="C452" s="1428"/>
      <c r="D452" s="1428"/>
      <c r="E452" s="1428"/>
      <c r="F452" s="1428"/>
      <c r="G452" s="1517"/>
      <c r="H452" s="1517"/>
      <c r="I452" s="1518"/>
      <c r="J452" s="67"/>
      <c r="K452" s="67"/>
      <c r="L452" s="914"/>
    </row>
    <row r="453" spans="1:12" ht="17.850000000000001" customHeight="1" x14ac:dyDescent="0.65">
      <c r="A453" s="1924" t="s">
        <v>442</v>
      </c>
      <c r="B453" s="1925"/>
      <c r="C453" s="1925"/>
      <c r="D453" s="1925"/>
      <c r="E453" s="1925"/>
      <c r="F453" s="1925"/>
      <c r="G453" s="1925"/>
      <c r="H453" s="1926"/>
      <c r="I453" s="1159"/>
      <c r="J453" s="67"/>
      <c r="K453" s="67"/>
      <c r="L453" s="914"/>
    </row>
    <row r="454" spans="1:12" ht="17.850000000000001" customHeight="1" x14ac:dyDescent="0.45">
      <c r="A454" s="1464" t="str">
        <f>A$12</f>
        <v xml:space="preserve">Bezeichnung (Produktionsfaktor-Nr.): </v>
      </c>
      <c r="B454" s="1465"/>
      <c r="C454" s="1466"/>
      <c r="D454" s="1470" t="s">
        <v>689</v>
      </c>
      <c r="E454" s="1471"/>
      <c r="F454" s="1471"/>
      <c r="G454" s="1471"/>
      <c r="H454" s="1471"/>
      <c r="I454" s="1160"/>
      <c r="J454" s="67"/>
      <c r="K454" s="67"/>
      <c r="L454" s="914"/>
    </row>
    <row r="455" spans="1:12" ht="17.850000000000001" customHeight="1" x14ac:dyDescent="0.45">
      <c r="A455" s="1467"/>
      <c r="B455" s="1468"/>
      <c r="C455" s="1469"/>
      <c r="D455" s="1472"/>
      <c r="E455" s="1473"/>
      <c r="F455" s="1473"/>
      <c r="G455" s="1473"/>
      <c r="H455" s="1473"/>
      <c r="I455" s="1160"/>
      <c r="J455" s="67"/>
      <c r="K455" s="67"/>
      <c r="L455" s="914"/>
    </row>
    <row r="456" spans="1:12" ht="17.850000000000001" customHeight="1" x14ac:dyDescent="0.45">
      <c r="A456" s="1888" t="s">
        <v>221</v>
      </c>
      <c r="B456" s="1888"/>
      <c r="C456" s="1888"/>
      <c r="D456" s="1888"/>
      <c r="E456" s="98" t="s">
        <v>23</v>
      </c>
      <c r="F456" s="98" t="s">
        <v>81</v>
      </c>
      <c r="G456" s="71" t="s">
        <v>86</v>
      </c>
      <c r="H456" s="157" t="s">
        <v>87</v>
      </c>
      <c r="I456" s="1160"/>
      <c r="J456" s="67"/>
      <c r="K456" s="67"/>
      <c r="L456" s="914"/>
    </row>
    <row r="457" spans="1:12" ht="17.850000000000001" customHeight="1" thickBot="1" x14ac:dyDescent="0.5">
      <c r="A457" s="1406" t="s">
        <v>695</v>
      </c>
      <c r="B457" s="1407"/>
      <c r="C457" s="1408"/>
      <c r="D457" s="77" t="str">
        <f ca="1">IFERROR(VLOOKUP(A457,Stammdaten!A$7:D$33,4,FALSE),"&lt;-- Prüfen!")</f>
        <v>&lt;-- Prüfen!</v>
      </c>
      <c r="E457" s="110">
        <v>1</v>
      </c>
      <c r="F457" s="79">
        <v>1</v>
      </c>
      <c r="G457" s="90" t="str">
        <f ca="1">IFERROR(VLOOKUP(A457,Stammdaten!A$7:F$33,4,FALSE)*F457,"")</f>
        <v/>
      </c>
      <c r="H457" s="158" t="str">
        <f ca="1">IFERROR(VLOOKUP(A457,Stammdaten!A$7:F$33,6,FALSE)*F457,"")</f>
        <v/>
      </c>
      <c r="I457" s="1160"/>
      <c r="J457" s="1475"/>
      <c r="K457" s="1475"/>
      <c r="L457" s="1478" t="str">
        <f ca="1">IF(AND(D457&gt;0,E457=0),"Anzahl / Anteil eingeben","")</f>
        <v/>
      </c>
    </row>
    <row r="458" spans="1:12" ht="17.850000000000001" customHeight="1" x14ac:dyDescent="0.45">
      <c r="A458" s="1403" t="s">
        <v>113</v>
      </c>
      <c r="B458" s="1404"/>
      <c r="C458" s="1404"/>
      <c r="D458" s="1405"/>
      <c r="E458" s="75">
        <f>E457</f>
        <v>1</v>
      </c>
      <c r="F458" s="76">
        <v>1</v>
      </c>
      <c r="G458" s="77" t="e">
        <f ca="1">IF(AND(_OK?="OK!",_OK_KV?="OK_KV!"),SUM(G457),ROUNDUP(G457,0))</f>
        <v>#VALUE!</v>
      </c>
      <c r="H458" s="159">
        <f ca="1">SUM(H457:H457)</f>
        <v>0</v>
      </c>
      <c r="I458" s="1161" t="str">
        <f ca="1">IF(OR(_OK?&lt;&gt;"OK!",_OK_KV?&lt;&gt;"OK_KV!"),"X","")</f>
        <v>X</v>
      </c>
      <c r="J458" s="1475"/>
      <c r="K458" s="1475"/>
      <c r="L458" s="1478"/>
    </row>
    <row r="459" spans="1:12" ht="17.850000000000001" customHeight="1" x14ac:dyDescent="0.45">
      <c r="A459" s="1396" t="s">
        <v>316</v>
      </c>
      <c r="B459" s="1397"/>
      <c r="C459" s="1397"/>
      <c r="D459" s="1397"/>
      <c r="E459" s="1397"/>
      <c r="F459" s="1397"/>
      <c r="G459" s="1397"/>
      <c r="H459" s="1397"/>
      <c r="I459" s="1160"/>
      <c r="J459" s="989"/>
      <c r="K459" s="758"/>
      <c r="L459" s="914"/>
    </row>
    <row r="460" spans="1:12" ht="17.850000000000001" customHeight="1" thickBot="1" x14ac:dyDescent="0.5">
      <c r="A460" s="1406"/>
      <c r="B460" s="1407"/>
      <c r="C460" s="1408"/>
      <c r="D460" s="90">
        <f ca="1">IFERROR(VLOOKUP(A460,Stammdaten!A$7:D$33,4,FALSE),"&lt;-- Prüfen!")</f>
        <v>0</v>
      </c>
      <c r="E460" s="286"/>
      <c r="F460" s="79" t="str">
        <f>IF(A460&lt;&gt;"",E460/E461,"")</f>
        <v/>
      </c>
      <c r="G460" s="90" t="str">
        <f ca="1">IFERROR(VLOOKUP(A460,Stammdaten!A$7:F$33,4,FALSE)*F460,"")</f>
        <v/>
      </c>
      <c r="H460" s="90" t="str">
        <f ca="1">IFERROR(VLOOKUP(A460,Stammdaten!A$7:F$33,6,FALSE)*F460,"")</f>
        <v/>
      </c>
      <c r="I460" s="1162" t="str">
        <f>IF(AND(E460&gt;0,A460=""),"Beschäftigungsgruppe wählen oder Anzahl = 0","")</f>
        <v/>
      </c>
      <c r="J460" s="1475" t="str">
        <f>IF(AND(E460&gt;0,A460=""),"Beschäftigungsgruppe auswählen oder Anzahl = 0 oder löschen!","")</f>
        <v/>
      </c>
      <c r="K460" s="1475"/>
      <c r="L460" s="1478" t="str">
        <f ca="1">IF(AND(D460&gt;0,E460=0),"Anzahl / Anteil eingeben","")</f>
        <v/>
      </c>
    </row>
    <row r="461" spans="1:12" ht="17.850000000000001" customHeight="1" x14ac:dyDescent="0.45">
      <c r="A461" s="996" t="s">
        <v>113</v>
      </c>
      <c r="B461" s="997"/>
      <c r="C461" s="997"/>
      <c r="D461" s="998"/>
      <c r="E461" s="111">
        <f>SUM(E460:E460)</f>
        <v>0</v>
      </c>
      <c r="F461" s="76">
        <f>SUM(F460:F460)</f>
        <v>0</v>
      </c>
      <c r="G461" s="77">
        <f ca="1">SUM(G460:G460)</f>
        <v>0</v>
      </c>
      <c r="H461" s="159">
        <f ca="1">SUM(H460:H460)</f>
        <v>0</v>
      </c>
      <c r="I461" s="1160"/>
      <c r="J461" s="1475"/>
      <c r="K461" s="1475"/>
      <c r="L461" s="1478"/>
    </row>
    <row r="462" spans="1:12" ht="17.850000000000001" customHeight="1" x14ac:dyDescent="0.45">
      <c r="A462" s="100"/>
      <c r="B462" s="985"/>
      <c r="C462" s="985"/>
      <c r="D462" s="985"/>
      <c r="E462" s="985"/>
      <c r="F462" s="985"/>
      <c r="G462" s="361"/>
      <c r="H462" s="361"/>
      <c r="I462" s="1163"/>
      <c r="J462" s="67"/>
      <c r="K462" s="67"/>
      <c r="L462" s="914"/>
    </row>
    <row r="463" spans="1:12" ht="17.850000000000001" customHeight="1" x14ac:dyDescent="0.45">
      <c r="A463" s="1347" t="s">
        <v>195</v>
      </c>
      <c r="B463" s="1348"/>
      <c r="C463" s="1348"/>
      <c r="D463" s="1348"/>
      <c r="E463" s="1348"/>
      <c r="F463" s="1348"/>
      <c r="G463" s="1348"/>
      <c r="H463" s="313">
        <v>1</v>
      </c>
      <c r="I463" s="1160"/>
      <c r="J463" s="1484" t="str">
        <f>IF(ISBLANK(H463),"Kennzeichen eingeben!","")</f>
        <v/>
      </c>
      <c r="K463" s="1484"/>
      <c r="L463" s="914"/>
    </row>
    <row r="464" spans="1:12" ht="17.850000000000001" customHeight="1" thickBot="1" x14ac:dyDescent="0.5">
      <c r="A464" s="1409" t="s">
        <v>515</v>
      </c>
      <c r="B464" s="1410"/>
      <c r="C464" s="1410"/>
      <c r="D464" s="1410"/>
      <c r="E464" s="565" t="s">
        <v>93</v>
      </c>
      <c r="F464" s="135">
        <f>IF(H463=1,E458,E458-E461)</f>
        <v>1</v>
      </c>
      <c r="G464" s="566" t="s">
        <v>94</v>
      </c>
      <c r="H464" s="160">
        <f>E461</f>
        <v>0</v>
      </c>
      <c r="I464" s="1160"/>
      <c r="J464" s="67"/>
      <c r="K464" s="67"/>
      <c r="L464" s="914"/>
    </row>
    <row r="465" spans="1:12" ht="17.850000000000001" customHeight="1" thickBot="1" x14ac:dyDescent="0.5">
      <c r="A465" s="70"/>
      <c r="B465" s="98"/>
      <c r="C465" s="973"/>
      <c r="D465" s="98" t="s">
        <v>86</v>
      </c>
      <c r="E465" s="973" t="s">
        <v>87</v>
      </c>
      <c r="F465" s="421" t="s">
        <v>164</v>
      </c>
      <c r="G465" s="418" t="s">
        <v>104</v>
      </c>
      <c r="H465" s="419" t="s">
        <v>87</v>
      </c>
      <c r="I465" s="1164"/>
      <c r="J465" s="67"/>
      <c r="K465" s="67"/>
      <c r="L465" s="914"/>
    </row>
    <row r="466" spans="1:12" ht="17.850000000000001" customHeight="1" x14ac:dyDescent="0.45">
      <c r="A466" s="70" t="s">
        <v>89</v>
      </c>
      <c r="B466" s="98"/>
      <c r="C466" s="973"/>
      <c r="D466" s="112" t="e">
        <f ca="1">G458*F464</f>
        <v>#VALUE!</v>
      </c>
      <c r="E466" s="133">
        <f ca="1">F464*H458</f>
        <v>0</v>
      </c>
      <c r="F466" s="420" t="s">
        <v>341</v>
      </c>
      <c r="G466" s="77" t="e">
        <f ca="1">D466</f>
        <v>#VALUE!</v>
      </c>
      <c r="H466" s="417" t="e">
        <f ca="1">D468</f>
        <v>#VALUE!</v>
      </c>
      <c r="I466" s="1164"/>
      <c r="J466" s="67"/>
      <c r="K466" s="67"/>
      <c r="L466" s="914"/>
    </row>
    <row r="467" spans="1:12" ht="17.850000000000001" customHeight="1" thickBot="1" x14ac:dyDescent="0.5">
      <c r="A467" s="115" t="s">
        <v>90</v>
      </c>
      <c r="B467" s="116"/>
      <c r="C467" s="117"/>
      <c r="D467" s="118">
        <f ca="1">H464*G461</f>
        <v>0</v>
      </c>
      <c r="E467" s="134">
        <f ca="1">H464*H461</f>
        <v>0</v>
      </c>
      <c r="F467" s="411" t="s">
        <v>340</v>
      </c>
      <c r="G467" s="90">
        <f ca="1">D467</f>
        <v>0</v>
      </c>
      <c r="H467" s="410">
        <f ca="1">E468</f>
        <v>0</v>
      </c>
      <c r="I467" s="1164"/>
      <c r="J467" s="67"/>
      <c r="K467" s="67"/>
      <c r="L467" s="914"/>
    </row>
    <row r="468" spans="1:12" ht="17.850000000000001" customHeight="1" x14ac:dyDescent="0.45">
      <c r="A468" s="181"/>
      <c r="B468" s="177"/>
      <c r="C468" s="993" t="s">
        <v>67</v>
      </c>
      <c r="D468" s="182" t="e">
        <f ca="1">SUM(D466:D467)</f>
        <v>#VALUE!</v>
      </c>
      <c r="E468" s="183">
        <f ca="1">SUM(E466:E467)</f>
        <v>0</v>
      </c>
      <c r="F468" s="412" t="s">
        <v>105</v>
      </c>
      <c r="G468" s="178" t="e">
        <f ca="1">G467/G466</f>
        <v>#VALUE!</v>
      </c>
      <c r="H468" s="408" t="e">
        <f ca="1">H467/H466</f>
        <v>#VALUE!</v>
      </c>
      <c r="I468" s="1160"/>
      <c r="J468" s="67"/>
      <c r="K468" s="67"/>
      <c r="L468" s="914"/>
    </row>
    <row r="469" spans="1:12" ht="17.850000000000001" customHeight="1" thickBot="1" x14ac:dyDescent="0.5">
      <c r="A469" s="153"/>
      <c r="B469" s="175"/>
      <c r="C469" s="175" t="s">
        <v>220</v>
      </c>
      <c r="D469" s="184">
        <f ca="1">H$55</f>
        <v>0.12230000000000001</v>
      </c>
      <c r="E469" s="1504" t="s">
        <v>218</v>
      </c>
      <c r="F469" s="1504"/>
      <c r="G469" s="287"/>
      <c r="H469" s="314"/>
      <c r="I469" s="1161" t="str">
        <f>IF(OR(G469&lt;&gt;0,H469&lt;&gt;0),"X","")</f>
        <v/>
      </c>
      <c r="J469" s="67"/>
      <c r="K469" s="67"/>
      <c r="L469" s="914"/>
    </row>
    <row r="470" spans="1:12" ht="17.850000000000001" customHeight="1" x14ac:dyDescent="0.45">
      <c r="A470" s="181"/>
      <c r="B470" s="177"/>
      <c r="C470" s="985"/>
      <c r="D470" s="179"/>
      <c r="E470" s="1505" t="s">
        <v>219</v>
      </c>
      <c r="F470" s="1505"/>
      <c r="G470" s="178" t="e">
        <f ca="1">G468+G469</f>
        <v>#VALUE!</v>
      </c>
      <c r="H470" s="315" t="e">
        <f ca="1">H468+H469</f>
        <v>#VALUE!</v>
      </c>
      <c r="I470" s="1160"/>
      <c r="J470" s="67"/>
      <c r="K470" s="67"/>
      <c r="L470" s="914"/>
    </row>
    <row r="471" spans="1:12" ht="17.850000000000001" customHeight="1" x14ac:dyDescent="0.45">
      <c r="A471" s="119"/>
      <c r="B471" s="753"/>
      <c r="C471" s="982"/>
      <c r="D471" s="176"/>
      <c r="E471" s="130"/>
      <c r="F471" s="130"/>
      <c r="G471" s="180" t="s">
        <v>169</v>
      </c>
      <c r="H471" s="316" t="s">
        <v>170</v>
      </c>
      <c r="I471" s="1160"/>
      <c r="J471" s="67"/>
      <c r="K471" s="67"/>
      <c r="L471" s="914"/>
    </row>
    <row r="472" spans="1:12" ht="17.850000000000001" customHeight="1" x14ac:dyDescent="0.45">
      <c r="A472" s="535" t="s">
        <v>126</v>
      </c>
      <c r="B472" s="536"/>
      <c r="C472" s="536"/>
      <c r="D472" s="1482" t="str">
        <f>IF(A457=0,"Beschäfftigungsgruppe wählen!",A457)</f>
        <v>6. Hilfsarbeiter</v>
      </c>
      <c r="E472" s="1482"/>
      <c r="F472" s="1482"/>
      <c r="G472" s="1483"/>
      <c r="H472" s="537" t="e">
        <f ca="1">' K3 Regie4'!N$45</f>
        <v>#VALUE!</v>
      </c>
      <c r="I472" s="1160"/>
      <c r="J472" s="67"/>
      <c r="K472" s="67"/>
      <c r="L472" s="914"/>
    </row>
    <row r="473" spans="1:12" ht="17.850000000000001" customHeight="1" x14ac:dyDescent="0.45">
      <c r="A473" s="1502"/>
      <c r="B473" s="1503"/>
      <c r="C473" s="1503"/>
      <c r="D473" s="1503"/>
      <c r="E473" s="1503"/>
      <c r="F473" s="1503"/>
      <c r="G473" s="1503"/>
      <c r="H473" s="1503"/>
      <c r="I473" s="1160"/>
      <c r="J473" s="67"/>
      <c r="K473" s="67"/>
      <c r="L473" s="914"/>
    </row>
    <row r="474" spans="1:12" ht="17.850000000000001" customHeight="1" x14ac:dyDescent="0.45">
      <c r="A474" s="1485" t="s">
        <v>222</v>
      </c>
      <c r="B474" s="1486"/>
      <c r="C474" s="1486"/>
      <c r="D474" s="1487"/>
      <c r="E474" s="1422" t="s">
        <v>155</v>
      </c>
      <c r="F474" s="1422" t="s">
        <v>214</v>
      </c>
      <c r="G474" s="1422" t="s">
        <v>217</v>
      </c>
      <c r="H474" s="1494" t="s">
        <v>156</v>
      </c>
      <c r="I474" s="1165"/>
      <c r="J474" s="67"/>
      <c r="K474" s="67"/>
      <c r="L474" s="914"/>
    </row>
    <row r="475" spans="1:12" ht="17.850000000000001" customHeight="1" x14ac:dyDescent="0.45">
      <c r="A475" s="1488"/>
      <c r="B475" s="1489"/>
      <c r="C475" s="1489"/>
      <c r="D475" s="1490"/>
      <c r="E475" s="1423"/>
      <c r="F475" s="1423"/>
      <c r="G475" s="1423"/>
      <c r="H475" s="1495"/>
      <c r="I475" s="1165"/>
      <c r="J475" s="67"/>
      <c r="K475" s="67"/>
      <c r="L475" s="914"/>
    </row>
    <row r="476" spans="1:12" ht="17.850000000000001" customHeight="1" x14ac:dyDescent="0.45">
      <c r="A476" s="1491"/>
      <c r="B476" s="1492"/>
      <c r="C476" s="1492"/>
      <c r="D476" s="1493"/>
      <c r="E476" s="1424"/>
      <c r="F476" s="1424"/>
      <c r="G476" s="1424"/>
      <c r="H476" s="1496"/>
      <c r="I476" s="1160"/>
      <c r="J476" s="67"/>
      <c r="K476" s="67"/>
      <c r="L476" s="914"/>
    </row>
    <row r="477" spans="1:12" ht="17.850000000000001" customHeight="1" x14ac:dyDescent="0.45">
      <c r="A477" s="1499" t="s">
        <v>319</v>
      </c>
      <c r="B477" s="1499"/>
      <c r="C477" s="1499"/>
      <c r="D477" s="1411"/>
      <c r="E477" s="346">
        <v>0</v>
      </c>
      <c r="F477" s="345"/>
      <c r="G477" s="283"/>
      <c r="H477" s="346">
        <f>IF(ISBLANK(G477),E477,G477)</f>
        <v>0</v>
      </c>
      <c r="I477" s="1161" t="str">
        <f>IF(G477&lt;&gt;0,"X","")</f>
        <v/>
      </c>
      <c r="J477" s="67"/>
      <c r="K477" s="67"/>
      <c r="L477" s="914"/>
    </row>
    <row r="478" spans="1:12" ht="17.850000000000001" customHeight="1" x14ac:dyDescent="0.45">
      <c r="A478" s="1511" t="s">
        <v>152</v>
      </c>
      <c r="B478" s="1512"/>
      <c r="C478" s="1512"/>
      <c r="D478" s="1512"/>
      <c r="E478" s="353">
        <v>1</v>
      </c>
      <c r="F478" s="339"/>
      <c r="G478" s="354"/>
      <c r="H478" s="355">
        <f>IF(F478=1,G478,E478)</f>
        <v>1</v>
      </c>
      <c r="I478" s="1162"/>
      <c r="J478" s="67"/>
      <c r="K478" s="67"/>
      <c r="L478" s="914"/>
    </row>
    <row r="479" spans="1:12" ht="17.850000000000001" customHeight="1" x14ac:dyDescent="0.45">
      <c r="A479" s="1419" t="s">
        <v>471</v>
      </c>
      <c r="B479" s="1420"/>
      <c r="C479" s="1420"/>
      <c r="D479" s="1421"/>
      <c r="E479" s="369"/>
      <c r="F479" s="313">
        <v>1</v>
      </c>
      <c r="G479" s="377"/>
      <c r="H479" s="374"/>
      <c r="I479" s="1161" t="str">
        <f>IF(F479&lt;&gt;0,"X","")</f>
        <v>X</v>
      </c>
      <c r="J479" s="1484" t="str">
        <f>IF(F479+F483+F487&gt;1,"Zusätzlich mit Verrechnungsstd.?","")</f>
        <v/>
      </c>
      <c r="K479" s="1484"/>
      <c r="L479" s="914"/>
    </row>
    <row r="480" spans="1:12" ht="17.850000000000001" customHeight="1" x14ac:dyDescent="0.45">
      <c r="A480" s="340" t="s">
        <v>124</v>
      </c>
      <c r="B480" s="1459" t="s">
        <v>694</v>
      </c>
      <c r="C480" s="1459"/>
      <c r="D480" s="1459"/>
      <c r="E480" s="341">
        <f ca="1">IFERROR(VLOOKUP(B480,Stammdaten!A$39:C$48,3,FALSE),"")</f>
        <v>0.5</v>
      </c>
      <c r="F480" s="373"/>
      <c r="G480" s="379"/>
      <c r="H480" s="375"/>
      <c r="I480" s="1162"/>
      <c r="J480" s="1484" t="str">
        <f ca="1">IF(AND(F479=1,E480=0),"Arbeitszeitzuschlag auswählen!","")</f>
        <v/>
      </c>
      <c r="K480" s="1484"/>
      <c r="L480" s="914"/>
    </row>
    <row r="481" spans="1:12" ht="17.850000000000001" customHeight="1" x14ac:dyDescent="0.45">
      <c r="A481" s="1479" t="s">
        <v>198</v>
      </c>
      <c r="B481" s="1480"/>
      <c r="C481" s="1480"/>
      <c r="D481" s="1480"/>
      <c r="E481" s="342">
        <f ca="1">IFERROR(IF(VLOOKUP(B480,Stammdaten!A$39:C$48,2,FALSE)=0,1,(VLOOKUP(B480,Stammdaten!A$39:C$48,2,FALSE))),"")</f>
        <v>1</v>
      </c>
      <c r="F481" s="373"/>
      <c r="G481" s="378"/>
      <c r="H481" s="376"/>
      <c r="I481" s="1162"/>
      <c r="J481" s="67"/>
      <c r="K481" s="67"/>
      <c r="L481" s="914"/>
    </row>
    <row r="482" spans="1:12" ht="17.850000000000001" customHeight="1" x14ac:dyDescent="0.45">
      <c r="A482" s="1416" t="s">
        <v>474</v>
      </c>
      <c r="B482" s="1417"/>
      <c r="C482" s="1417"/>
      <c r="D482" s="1418"/>
      <c r="E482" s="372"/>
      <c r="F482" s="484">
        <v>4</v>
      </c>
      <c r="G482" s="380" t="e">
        <f ca="1">IF(F482=1,1,IF(F482=2,((' K3 Regie4'!O$23+' K3 Regie4'!O$24)/' K3 Regie4'!O$23),IF(F482&gt;2,((' K3 Regie4'!O$23+' K3 Regie4'!O$24+' K3 Regie4'!O$25)/' K3 Regie4'!O$23),"")))</f>
        <v>#VALUE!</v>
      </c>
      <c r="H482" s="375" t="e">
        <f ca="1">IF(F479*F482&gt;0,(E480*E481*G482),0)</f>
        <v>#VALUE!</v>
      </c>
      <c r="I482" s="1162"/>
      <c r="J482" s="1484" t="str">
        <f>IF(AND(ISBLANK(F482),F479=1),"Kennzeichen setzen!","")</f>
        <v/>
      </c>
      <c r="K482" s="1484"/>
      <c r="L482" s="914"/>
    </row>
    <row r="483" spans="1:12" ht="17.850000000000001" customHeight="1" x14ac:dyDescent="0.45">
      <c r="A483" s="1419" t="s">
        <v>472</v>
      </c>
      <c r="B483" s="1420"/>
      <c r="C483" s="1420"/>
      <c r="D483" s="1421"/>
      <c r="E483" s="369"/>
      <c r="F483" s="313">
        <v>0</v>
      </c>
      <c r="G483" s="377"/>
      <c r="H483" s="374"/>
      <c r="I483" s="1161" t="str">
        <f>IF(F483&lt;&gt;0,"X","")</f>
        <v/>
      </c>
      <c r="J483" s="1484"/>
      <c r="K483" s="1484"/>
      <c r="L483" s="914"/>
    </row>
    <row r="484" spans="1:12" ht="17.850000000000001" customHeight="1" x14ac:dyDescent="0.45">
      <c r="A484" s="340" t="s">
        <v>329</v>
      </c>
      <c r="B484" s="1459"/>
      <c r="C484" s="1459"/>
      <c r="D484" s="1459"/>
      <c r="E484" s="341">
        <f ca="1">IFERROR(VLOOKUP(B484,Stammdaten!A$50:C$54,3,FALSE),"")</f>
        <v>0</v>
      </c>
      <c r="F484" s="373"/>
      <c r="G484" s="379"/>
      <c r="H484" s="375"/>
      <c r="I484" s="1162"/>
      <c r="J484" s="978"/>
      <c r="K484" s="757"/>
      <c r="L484" s="914"/>
    </row>
    <row r="485" spans="1:12" ht="17.850000000000001" customHeight="1" x14ac:dyDescent="0.45">
      <c r="A485" s="1479" t="s">
        <v>330</v>
      </c>
      <c r="B485" s="1480"/>
      <c r="C485" s="1480"/>
      <c r="D485" s="1480"/>
      <c r="E485" s="342">
        <f ca="1">IFERROR(IF(VLOOKUP(B484,Stammdaten!A$50:C$54,2,FALSE)=0,1,(VLOOKUP(B484,Stammdaten!A$50:C$54,2,FALSE))),"")</f>
        <v>1</v>
      </c>
      <c r="F485" s="373"/>
      <c r="G485" s="378"/>
      <c r="H485" s="376"/>
      <c r="I485" s="1162"/>
      <c r="J485" s="978"/>
      <c r="K485" s="757"/>
      <c r="L485" s="914"/>
    </row>
    <row r="486" spans="1:12" ht="17.850000000000001" customHeight="1" x14ac:dyDescent="0.45">
      <c r="A486" s="1416" t="s">
        <v>474</v>
      </c>
      <c r="B486" s="1417"/>
      <c r="C486" s="1417"/>
      <c r="D486" s="1418"/>
      <c r="E486" s="372"/>
      <c r="F486" s="484"/>
      <c r="G486" s="380" t="str">
        <f>IF(F486=1,1,IF(F486=2,((' K3 Regie4'!O$23+' K3 Regie4'!O$24)/' K3 Regie4'!O$23),IF(F486&gt;2,((' K3 Regie4'!O$23+' K3 Regie4'!O$24+' K3 Regie4'!O$25)/' K3 Regie4'!O$23),"")))</f>
        <v/>
      </c>
      <c r="H486" s="375">
        <f>IF(F483*F486&gt;0,(E484*E485*G486),0)</f>
        <v>0</v>
      </c>
      <c r="I486" s="1162"/>
      <c r="J486" s="1484" t="str">
        <f>IF(AND(ISBLANK(F486),F483=1),"Kennzeichen setzen!","")</f>
        <v/>
      </c>
      <c r="K486" s="1484"/>
      <c r="L486" s="914"/>
    </row>
    <row r="487" spans="1:12" ht="17.850000000000001" customHeight="1" x14ac:dyDescent="0.45">
      <c r="A487" s="1419" t="s">
        <v>473</v>
      </c>
      <c r="B487" s="1420"/>
      <c r="C487" s="1420"/>
      <c r="D487" s="1421"/>
      <c r="E487" s="369"/>
      <c r="F487" s="174">
        <v>0</v>
      </c>
      <c r="G487" s="370"/>
      <c r="H487" s="371"/>
      <c r="I487" s="1161" t="str">
        <f>IF(F487&lt;&gt;0,"X","")</f>
        <v/>
      </c>
      <c r="J487" s="1484"/>
      <c r="K487" s="1484"/>
      <c r="L487" s="914"/>
    </row>
    <row r="488" spans="1:12" ht="17.850000000000001" customHeight="1" thickBot="1" x14ac:dyDescent="0.5">
      <c r="A488" s="382" t="s">
        <v>331</v>
      </c>
      <c r="B488" s="1481"/>
      <c r="C488" s="1481"/>
      <c r="D488" s="1481"/>
      <c r="E488" s="383">
        <f ca="1">IFERROR(VLOOKUP(B488,Stammdaten!A$56:C$60,2,FALSE),"")</f>
        <v>0</v>
      </c>
      <c r="F488" s="384" t="s">
        <v>328</v>
      </c>
      <c r="G488" s="385" t="e">
        <f ca="1">' K3 Regie4'!$O$21</f>
        <v>#VALUE!</v>
      </c>
      <c r="H488" s="386">
        <f>IF(F487=1,E488/G488,0)</f>
        <v>0</v>
      </c>
      <c r="I488" s="1162"/>
      <c r="J488" s="978"/>
      <c r="K488" s="757"/>
      <c r="L488" s="914"/>
    </row>
    <row r="489" spans="1:12" ht="17.850000000000001" customHeight="1" thickBot="1" x14ac:dyDescent="0.5">
      <c r="A489" s="1055" t="s">
        <v>157</v>
      </c>
      <c r="B489" s="1056"/>
      <c r="C489" s="1056"/>
      <c r="D489" s="1056"/>
      <c r="E489" s="1057"/>
      <c r="F489" s="1057"/>
      <c r="G489" s="1057"/>
      <c r="H489" s="1058" t="e">
        <f ca="1">SUM(H479:H488)</f>
        <v>#VALUE!</v>
      </c>
      <c r="I489" s="1162"/>
      <c r="J489" s="67"/>
      <c r="K489" s="67"/>
      <c r="L489" s="914"/>
    </row>
    <row r="490" spans="1:12" ht="17.850000000000001" customHeight="1" x14ac:dyDescent="0.45">
      <c r="A490" s="1416" t="s">
        <v>324</v>
      </c>
      <c r="B490" s="1417"/>
      <c r="C490" s="1417"/>
      <c r="D490" s="1418"/>
      <c r="E490" s="271">
        <f ca="1">$H$139</f>
        <v>1.21</v>
      </c>
      <c r="F490" s="343"/>
      <c r="G490" s="344"/>
      <c r="H490" s="324">
        <f t="shared" ref="H490:H495" ca="1" si="17">IF(ISBLANK(G490),E490,G490)</f>
        <v>1.21</v>
      </c>
      <c r="I490" s="1161" t="str">
        <f t="shared" ref="I490:I495" ca="1" si="18">IF(OR(G490&lt;&gt;0,E490&lt;&gt;H490),"X","")</f>
        <v/>
      </c>
      <c r="J490" s="67"/>
      <c r="K490" s="67"/>
      <c r="L490" s="914"/>
    </row>
    <row r="491" spans="1:12" ht="17.850000000000001" customHeight="1" x14ac:dyDescent="0.45">
      <c r="A491" s="1411" t="s">
        <v>332</v>
      </c>
      <c r="B491" s="1412"/>
      <c r="C491" s="1412"/>
      <c r="D491" s="1413"/>
      <c r="E491" s="189">
        <f ca="1">$G$138</f>
        <v>0.94</v>
      </c>
      <c r="F491" s="345"/>
      <c r="G491" s="284"/>
      <c r="H491" s="325">
        <f t="shared" ca="1" si="17"/>
        <v>0.94</v>
      </c>
      <c r="I491" s="1161" t="str">
        <f t="shared" ca="1" si="18"/>
        <v/>
      </c>
      <c r="J491" s="67"/>
      <c r="K491" s="67"/>
      <c r="L491" s="914"/>
    </row>
    <row r="492" spans="1:12" ht="17.850000000000001" customHeight="1" x14ac:dyDescent="0.45">
      <c r="A492" s="1411" t="s">
        <v>158</v>
      </c>
      <c r="B492" s="1412"/>
      <c r="C492" s="1412"/>
      <c r="D492" s="1413"/>
      <c r="E492" s="346">
        <f ca="1">$H$179</f>
        <v>0.28110000000000002</v>
      </c>
      <c r="F492" s="345"/>
      <c r="G492" s="283"/>
      <c r="H492" s="347">
        <f t="shared" ca="1" si="17"/>
        <v>0.28110000000000002</v>
      </c>
      <c r="I492" s="1161" t="str">
        <f t="shared" ca="1" si="18"/>
        <v/>
      </c>
      <c r="J492" s="67"/>
      <c r="K492" s="67"/>
      <c r="L492" s="914"/>
    </row>
    <row r="493" spans="1:12" ht="17.850000000000001" customHeight="1" x14ac:dyDescent="0.45">
      <c r="A493" s="1411" t="s">
        <v>325</v>
      </c>
      <c r="B493" s="1412"/>
      <c r="C493" s="1412"/>
      <c r="D493" s="1413"/>
      <c r="E493" s="346">
        <f ca="1">$H$198</f>
        <v>0.82350000000000001</v>
      </c>
      <c r="F493" s="345"/>
      <c r="G493" s="283"/>
      <c r="H493" s="347">
        <f t="shared" ca="1" si="17"/>
        <v>0.82350000000000001</v>
      </c>
      <c r="I493" s="1161" t="str">
        <f t="shared" ca="1" si="18"/>
        <v/>
      </c>
      <c r="J493" s="67"/>
      <c r="K493" s="67"/>
      <c r="L493" s="914"/>
    </row>
    <row r="494" spans="1:12" ht="17.850000000000001" customHeight="1" x14ac:dyDescent="0.45">
      <c r="A494" s="1411" t="s">
        <v>159</v>
      </c>
      <c r="B494" s="1412"/>
      <c r="C494" s="1412"/>
      <c r="D494" s="1413"/>
      <c r="E494" s="346">
        <f ca="1">$H$211</f>
        <v>0</v>
      </c>
      <c r="F494" s="345"/>
      <c r="G494" s="283"/>
      <c r="H494" s="347">
        <f t="shared" ca="1" si="17"/>
        <v>0</v>
      </c>
      <c r="I494" s="1161" t="str">
        <f t="shared" ca="1" si="18"/>
        <v/>
      </c>
      <c r="J494" s="67"/>
      <c r="K494" s="67"/>
      <c r="L494" s="914"/>
    </row>
    <row r="495" spans="1:12" ht="17.850000000000001" customHeight="1" x14ac:dyDescent="0.45">
      <c r="A495" s="1411" t="s">
        <v>160</v>
      </c>
      <c r="B495" s="1412"/>
      <c r="C495" s="1412"/>
      <c r="D495" s="1413"/>
      <c r="E495" s="743">
        <f ca="1">$F$238</f>
        <v>0.18554999999999999</v>
      </c>
      <c r="F495" s="345"/>
      <c r="G495" s="740"/>
      <c r="H495" s="744">
        <f t="shared" ca="1" si="17"/>
        <v>0.18554999999999999</v>
      </c>
      <c r="I495" s="1161" t="str">
        <f t="shared" ca="1" si="18"/>
        <v/>
      </c>
      <c r="J495" s="67"/>
      <c r="K495" s="67"/>
      <c r="L495" s="914"/>
    </row>
    <row r="496" spans="1:12" ht="17.850000000000001" customHeight="1" x14ac:dyDescent="0.45">
      <c r="A496" s="1414" t="s">
        <v>131</v>
      </c>
      <c r="B496" s="1415"/>
      <c r="C496" s="1415"/>
      <c r="D496" s="1415"/>
      <c r="E496" s="1415"/>
      <c r="F496" s="1415"/>
      <c r="G496" s="1415"/>
      <c r="H496" s="1415"/>
      <c r="I496" s="1162"/>
      <c r="J496" s="67"/>
      <c r="K496" s="67"/>
      <c r="L496" s="914"/>
    </row>
    <row r="497" spans="1:12" ht="17.850000000000001" customHeight="1" x14ac:dyDescent="0.45">
      <c r="A497" s="1396" t="s">
        <v>153</v>
      </c>
      <c r="B497" s="1397"/>
      <c r="C497" s="1397"/>
      <c r="D497" s="1397"/>
      <c r="E497" s="387" t="str">
        <f>IF(OR(F$262&lt;&gt;SUM(F498:F500),G$262&lt;&gt;SUM(G498:G500)),"!","")</f>
        <v/>
      </c>
      <c r="F497" s="131" t="s">
        <v>83</v>
      </c>
      <c r="G497" s="131" t="s">
        <v>111</v>
      </c>
      <c r="H497" s="349"/>
      <c r="I497" s="1162"/>
      <c r="J497" s="1475" t="str">
        <f>IF(E497="!","Warnung: Es sind nicht alle Umlagen ausgewählt!Gewollt? Keine Einschränkung der Berechnung.","")</f>
        <v/>
      </c>
      <c r="K497" s="1475"/>
      <c r="L497" s="1478"/>
    </row>
    <row r="498" spans="1:12" ht="17.850000000000001" customHeight="1" x14ac:dyDescent="0.45">
      <c r="A498" s="1453"/>
      <c r="B498" s="1454"/>
      <c r="C498" s="1454"/>
      <c r="D498" s="1454"/>
      <c r="E498" s="1454"/>
      <c r="F498" s="349" t="str">
        <f>IFERROR(VLOOKUP(A498,A$252:G$256,6,FALSE),"")</f>
        <v/>
      </c>
      <c r="G498" s="359" t="str">
        <f>IFERROR(VLOOKUP(A498,A$252:G$256,7,FALSE),"")</f>
        <v/>
      </c>
      <c r="H498" s="163"/>
      <c r="I498" s="1162"/>
      <c r="J498" s="1475"/>
      <c r="K498" s="1475"/>
      <c r="L498" s="1478"/>
    </row>
    <row r="499" spans="1:12" ht="17.850000000000001" customHeight="1" x14ac:dyDescent="0.45">
      <c r="A499" s="1455"/>
      <c r="B499" s="1456"/>
      <c r="C499" s="1456"/>
      <c r="D499" s="1456"/>
      <c r="E499" s="1456"/>
      <c r="F499" s="163" t="str">
        <f>IFERROR(VLOOKUP(A499,A$252:G$256,6,FALSE),"")</f>
        <v/>
      </c>
      <c r="G499" s="356" t="str">
        <f>IFERROR(VLOOKUP(A499,A$252:G$256,7,FALSE),"")</f>
        <v/>
      </c>
      <c r="H499" s="163"/>
      <c r="I499" s="1162"/>
      <c r="J499" s="67"/>
      <c r="K499" s="67"/>
      <c r="L499" s="914"/>
    </row>
    <row r="500" spans="1:12" ht="17.850000000000001" customHeight="1" x14ac:dyDescent="0.45">
      <c r="A500" s="1457"/>
      <c r="B500" s="1458"/>
      <c r="C500" s="1458"/>
      <c r="D500" s="1458"/>
      <c r="E500" s="1458"/>
      <c r="F500" s="159" t="str">
        <f>IFERROR(VLOOKUP(A500,A$252:G$256,6,FALSE),"")</f>
        <v/>
      </c>
      <c r="G500" s="352" t="str">
        <f>IFERROR(VLOOKUP(A500,A$252:G$256,7,FALSE),"")</f>
        <v/>
      </c>
      <c r="H500" s="159"/>
      <c r="I500" s="1162"/>
      <c r="J500" s="67"/>
      <c r="K500" s="67"/>
      <c r="L500" s="914"/>
    </row>
    <row r="501" spans="1:12" ht="17.850000000000001" customHeight="1" x14ac:dyDescent="0.45">
      <c r="A501" s="1347" t="s">
        <v>154</v>
      </c>
      <c r="B501" s="1348"/>
      <c r="C501" s="1348"/>
      <c r="D501" s="1348"/>
      <c r="E501" s="1348"/>
      <c r="F501" s="1348"/>
      <c r="G501" s="1349"/>
      <c r="H501" s="713">
        <f>G267</f>
        <v>0.25802999999999998</v>
      </c>
      <c r="I501" s="1162"/>
      <c r="J501" s="67"/>
      <c r="K501" s="67"/>
      <c r="L501" s="914"/>
    </row>
    <row r="502" spans="1:12" ht="17.850000000000001" customHeight="1" x14ac:dyDescent="0.45">
      <c r="A502" s="1396" t="s">
        <v>162</v>
      </c>
      <c r="B502" s="1397"/>
      <c r="C502" s="1397"/>
      <c r="D502" s="1397"/>
      <c r="E502" s="1397"/>
      <c r="F502" s="1397"/>
      <c r="G502" s="1397"/>
      <c r="H502" s="1397"/>
      <c r="I502" s="1160"/>
      <c r="J502" s="67"/>
      <c r="K502" s="67"/>
      <c r="L502" s="914"/>
    </row>
    <row r="503" spans="1:12" ht="17.850000000000001" customHeight="1" x14ac:dyDescent="0.45">
      <c r="A503" s="1398" t="s">
        <v>683</v>
      </c>
      <c r="B503" s="1399"/>
      <c r="C503" s="1399"/>
      <c r="D503" s="1400"/>
      <c r="E503" s="711">
        <f>IFERROR(VLOOKUP(A503,'K2 GZ'!H$21:L$26,5,FALSE),"&lt;--prüfen")</f>
        <v>0.25802999999999998</v>
      </c>
      <c r="F503" s="1401" t="str">
        <f>IF(OR(E503&lt;0.01,E503=""),"GZ prüfen","")</f>
        <v/>
      </c>
      <c r="G503" s="1402"/>
      <c r="H503" s="712">
        <f>E503</f>
        <v>0.25802999999999998</v>
      </c>
      <c r="I503" s="1162"/>
      <c r="J503" s="67"/>
      <c r="K503" s="67"/>
      <c r="L503" s="914"/>
    </row>
    <row r="504" spans="1:12" ht="17.850000000000001" customHeight="1" x14ac:dyDescent="0.45">
      <c r="A504" s="535" t="s">
        <v>126</v>
      </c>
      <c r="B504" s="536"/>
      <c r="C504" s="1514" t="str">
        <f>D472</f>
        <v>6. Hilfsarbeiter</v>
      </c>
      <c r="D504" s="1514"/>
      <c r="E504" s="1514"/>
      <c r="F504" s="857" t="s">
        <v>595</v>
      </c>
      <c r="G504" s="834" t="e">
        <f ca="1">H504/D457-1</f>
        <v>#VALUE!</v>
      </c>
      <c r="H504" s="538" t="e">
        <f ca="1">' K3 Regie4'!N$45</f>
        <v>#VALUE!</v>
      </c>
      <c r="I504" s="1166"/>
      <c r="J504" s="67"/>
      <c r="K504" s="67"/>
      <c r="L504" s="914"/>
    </row>
    <row r="505" spans="1:12" ht="17.850000000000001" customHeight="1" x14ac:dyDescent="0.45">
      <c r="A505" s="1330"/>
      <c r="B505" s="1428"/>
      <c r="C505" s="1428"/>
      <c r="D505" s="1428"/>
      <c r="E505" s="1428"/>
      <c r="F505" s="1331"/>
      <c r="G505" s="1508"/>
      <c r="H505" s="1509"/>
      <c r="I505" s="1510"/>
      <c r="J505" s="67"/>
      <c r="K505" s="67"/>
      <c r="L505" s="914"/>
    </row>
    <row r="506" spans="1:12" ht="17.850000000000001" customHeight="1" x14ac:dyDescent="0.65">
      <c r="A506" s="1461" t="s">
        <v>589</v>
      </c>
      <c r="B506" s="1462"/>
      <c r="C506" s="1462"/>
      <c r="D506" s="1462"/>
      <c r="E506" s="1462"/>
      <c r="F506" s="1462"/>
      <c r="G506" s="1462"/>
      <c r="H506" s="1463"/>
      <c r="I506" s="1167"/>
      <c r="J506" s="67"/>
      <c r="K506" s="67"/>
      <c r="L506" s="914"/>
    </row>
    <row r="507" spans="1:12" ht="17.850000000000001" customHeight="1" x14ac:dyDescent="0.45">
      <c r="A507" s="1464" t="str">
        <f>A$12</f>
        <v xml:space="preserve">Bezeichnung (Produktionsfaktor-Nr.): </v>
      </c>
      <c r="B507" s="1465"/>
      <c r="C507" s="1466"/>
      <c r="D507" s="1470" t="s">
        <v>690</v>
      </c>
      <c r="E507" s="1471"/>
      <c r="F507" s="1471"/>
      <c r="G507" s="1471"/>
      <c r="H507" s="1471"/>
      <c r="I507" s="1168"/>
      <c r="J507" s="67"/>
      <c r="K507" s="67"/>
      <c r="L507" s="914"/>
    </row>
    <row r="508" spans="1:12" ht="17.850000000000001" customHeight="1" x14ac:dyDescent="0.45">
      <c r="A508" s="1467"/>
      <c r="B508" s="1468"/>
      <c r="C508" s="1469"/>
      <c r="D508" s="1472"/>
      <c r="E508" s="1473"/>
      <c r="F508" s="1473"/>
      <c r="G508" s="1473"/>
      <c r="H508" s="1473"/>
      <c r="I508" s="1168"/>
      <c r="J508" s="67"/>
      <c r="K508" s="67"/>
      <c r="L508" s="914"/>
    </row>
    <row r="509" spans="1:12" ht="17.850000000000001" customHeight="1" x14ac:dyDescent="0.45">
      <c r="A509" s="1506" t="s">
        <v>221</v>
      </c>
      <c r="B509" s="1506"/>
      <c r="C509" s="1506"/>
      <c r="D509" s="1506"/>
      <c r="E509" s="994" t="s">
        <v>23</v>
      </c>
      <c r="F509" s="994"/>
      <c r="G509" s="968" t="s">
        <v>86</v>
      </c>
      <c r="H509" s="988" t="s">
        <v>87</v>
      </c>
      <c r="I509" s="1168"/>
      <c r="J509" s="67"/>
      <c r="K509" s="67"/>
      <c r="L509" s="914"/>
    </row>
    <row r="510" spans="1:12" ht="17.850000000000001" customHeight="1" x14ac:dyDescent="0.45">
      <c r="A510" s="1507" t="s">
        <v>696</v>
      </c>
      <c r="B510" s="1507"/>
      <c r="C510" s="1507"/>
      <c r="D510" s="73" t="str">
        <f ca="1">IFERROR(VLOOKUP(A510,Stammdaten!A$7:D$33,4,FALSE),"&lt;-- Prüfen!")</f>
        <v>&lt;-- Prüfen!</v>
      </c>
      <c r="E510" s="72">
        <v>1</v>
      </c>
      <c r="F510" s="1059">
        <f>IFERROR(E510/E$514,"")</f>
        <v>0.5</v>
      </c>
      <c r="G510" s="73" t="str">
        <f ca="1">IFERROR(VLOOKUP(A510,Stammdaten!A$7:F$33,4,FALSE)*E510,"")</f>
        <v/>
      </c>
      <c r="H510" s="73" t="str">
        <f ca="1">IFERROR(VLOOKUP(A510,Stammdaten!A$7:F$33,6,FALSE)*E510,"")</f>
        <v/>
      </c>
      <c r="I510" s="1169"/>
      <c r="J510" s="1475" t="str">
        <f>IF(AND(A510="",E510&gt;0),"Anzahl ohne Beschäftigungsgruppe!","")</f>
        <v/>
      </c>
      <c r="K510" s="1475"/>
      <c r="L510" s="774" t="str">
        <f ca="1">IF(AND(D510&gt;0,E510=0),"Anzahl / Anteil eingeben","")</f>
        <v/>
      </c>
    </row>
    <row r="511" spans="1:12" ht="17.850000000000001" customHeight="1" x14ac:dyDescent="0.45">
      <c r="A511" s="1507" t="s">
        <v>697</v>
      </c>
      <c r="B511" s="1507"/>
      <c r="C511" s="1507"/>
      <c r="D511" s="73" t="str">
        <f ca="1">IFERROR(VLOOKUP(A511,Stammdaten!A$7:D$33,4,FALSE),"&lt;-- Prüfen!")</f>
        <v>&lt;-- Prüfen!</v>
      </c>
      <c r="E511" s="72">
        <v>1</v>
      </c>
      <c r="F511" s="1059">
        <f>IFERROR(E511/E$514,"")</f>
        <v>0.5</v>
      </c>
      <c r="G511" s="73" t="str">
        <f ca="1">IFERROR(VLOOKUP(A511,Stammdaten!A$7:F$33,4,FALSE)*E511,"")</f>
        <v/>
      </c>
      <c r="H511" s="73" t="str">
        <f ca="1">IFERROR(VLOOKUP(A511,Stammdaten!A$7:F$33,6,FALSE)*E511,"")</f>
        <v/>
      </c>
      <c r="I511" s="1169"/>
      <c r="J511" s="1475" t="str">
        <f>IF(AND(A511="",E511&gt;0),"Anzahl ohne Beschäftigungsgruppe!","")</f>
        <v/>
      </c>
      <c r="K511" s="1475"/>
      <c r="L511" s="774" t="str">
        <f ca="1">IF(AND(D511&gt;0,E511=0),"Anzahl / Anteil eingeben","")</f>
        <v/>
      </c>
    </row>
    <row r="512" spans="1:12" ht="17.850000000000001" customHeight="1" x14ac:dyDescent="0.45">
      <c r="A512" s="1507"/>
      <c r="B512" s="1507"/>
      <c r="C512" s="1507"/>
      <c r="D512" s="73">
        <f ca="1">IFERROR(VLOOKUP(A512,Stammdaten!A$7:D$33,4,FALSE),"&lt;-- Prüfen!")</f>
        <v>0</v>
      </c>
      <c r="E512" s="72"/>
      <c r="F512" s="1059">
        <f>IFERROR(E512/E$514,"")</f>
        <v>0</v>
      </c>
      <c r="G512" s="73">
        <f ca="1">IFERROR(VLOOKUP(A512,Stammdaten!A$7:F$33,4,FALSE)*E512,"")</f>
        <v>0</v>
      </c>
      <c r="H512" s="73">
        <f ca="1">IFERROR(VLOOKUP(A512,Stammdaten!A$7:F$33,6,FALSE)*E512,"")</f>
        <v>0</v>
      </c>
      <c r="I512" s="1169"/>
      <c r="J512" s="1475" t="str">
        <f>IF(AND(A512="",E512&gt;0),"Anzahl ohne Beschäftigungsgruppe!","")</f>
        <v/>
      </c>
      <c r="K512" s="1475"/>
      <c r="L512" s="774" t="str">
        <f ca="1">IF(AND(D512&gt;0,E512=0),"Anzahl / Anteil eingeben","")</f>
        <v/>
      </c>
    </row>
    <row r="513" spans="1:12" ht="17.850000000000001" customHeight="1" thickBot="1" x14ac:dyDescent="0.5">
      <c r="A513" s="1515"/>
      <c r="B513" s="1515"/>
      <c r="C513" s="1515"/>
      <c r="D513" s="90">
        <f ca="1">IFERROR(VLOOKUP(A513,Stammdaten!A$7:D$33,4,FALSE),"&lt;-- Prüfen!")</f>
        <v>0</v>
      </c>
      <c r="E513" s="74"/>
      <c r="F513" s="79">
        <f>IFERROR(E513/E$514,"")</f>
        <v>0</v>
      </c>
      <c r="G513" s="90">
        <f ca="1">IFERROR(VLOOKUP(A513,Stammdaten!A$7:F$33,4,FALSE)*E513,"")</f>
        <v>0</v>
      </c>
      <c r="H513" s="90">
        <f ca="1">IFERROR(VLOOKUP(A513,Stammdaten!A$7:F$33,6,FALSE)*E513,"")</f>
        <v>0</v>
      </c>
      <c r="I513" s="1169"/>
      <c r="J513" s="1475" t="str">
        <f>IF(AND(A513="",E513&gt;0),"Anzahl ohne Beschäftigungsgruppe!","")</f>
        <v/>
      </c>
      <c r="K513" s="1475"/>
      <c r="L513" s="774" t="str">
        <f ca="1">IF(AND(D513&gt;0,E513=0),"Anzahl / Anteil eingeben","")</f>
        <v/>
      </c>
    </row>
    <row r="514" spans="1:12" ht="17.850000000000001" customHeight="1" x14ac:dyDescent="0.45">
      <c r="A514" s="1330" t="s">
        <v>113</v>
      </c>
      <c r="B514" s="1428"/>
      <c r="C514" s="1428"/>
      <c r="D514" s="1331"/>
      <c r="E514" s="75">
        <f>SUM(E510:E513)</f>
        <v>2</v>
      </c>
      <c r="F514" s="76"/>
      <c r="G514" s="77" t="e">
        <f ca="1">IF(AND(_OK?="OK!",_OK_KV?="OK_KV!"),SUM(G510:G513),ROUNDUP(G510,0))</f>
        <v>#VALUE!</v>
      </c>
      <c r="H514" s="159">
        <f ca="1">SUM(H510:H513)</f>
        <v>0</v>
      </c>
      <c r="I514" s="1170" t="str">
        <f ca="1">IF(OR(_OK?&lt;&gt;"OK!",_OK_KV?&lt;&gt;"OK_KV!"),"X","")</f>
        <v>X</v>
      </c>
      <c r="J514" s="989"/>
      <c r="K514" s="758"/>
      <c r="L514" s="774"/>
    </row>
    <row r="515" spans="1:12" ht="17.850000000000001" customHeight="1" x14ac:dyDescent="0.45">
      <c r="A515" s="1396" t="s">
        <v>316</v>
      </c>
      <c r="B515" s="1397"/>
      <c r="C515" s="1397"/>
      <c r="D515" s="1397"/>
      <c r="E515" s="1397"/>
      <c r="F515" s="1397"/>
      <c r="G515" s="1397"/>
      <c r="H515" s="1397"/>
      <c r="I515" s="1168"/>
      <c r="J515" s="989"/>
      <c r="K515" s="758"/>
      <c r="L515" s="914"/>
    </row>
    <row r="516" spans="1:12" ht="17.850000000000001" customHeight="1" thickBot="1" x14ac:dyDescent="0.5">
      <c r="A516" s="1406"/>
      <c r="B516" s="1407"/>
      <c r="C516" s="1408"/>
      <c r="D516" s="90">
        <f ca="1">IFERROR(VLOOKUP(A516,Stammdaten!A$7:D$33,4,FALSE),"&lt;-- Prüfen!")</f>
        <v>0</v>
      </c>
      <c r="E516" s="286"/>
      <c r="F516" s="79" t="str">
        <f>IFERROR(IF(A516&lt;&gt;"",E516/E517,""),"")</f>
        <v/>
      </c>
      <c r="G516" s="90" t="str">
        <f ca="1">IFERROR(VLOOKUP(A516,Stammdaten!A$7:F$33,4,FALSE)*F516,"")</f>
        <v/>
      </c>
      <c r="H516" s="90" t="str">
        <f ca="1">IFERROR(VLOOKUP(A516,Stammdaten!A$7:F$33,6,FALSE)*F516,"")</f>
        <v/>
      </c>
      <c r="I516" s="1171" t="str">
        <f>IF(AND(E516&gt;0,A516=""),"Beschäftigungsgruppe wählen oder Anzahl = 0","")</f>
        <v/>
      </c>
      <c r="J516" s="1475" t="str">
        <f>IF(AND(E516&gt;0,A516=""),"Beschäftigungsgruppe auswählen oder Anzahl = 0 oder löschen!","")</f>
        <v/>
      </c>
      <c r="K516" s="1475"/>
      <c r="L516" s="1478" t="str">
        <f ca="1">IF(AND(D516&gt;0,E516=0),"Anzahl / Anteil eingeben","")</f>
        <v/>
      </c>
    </row>
    <row r="517" spans="1:12" ht="17.850000000000001" customHeight="1" x14ac:dyDescent="0.45">
      <c r="A517" s="996" t="s">
        <v>113</v>
      </c>
      <c r="B517" s="997"/>
      <c r="C517" s="997"/>
      <c r="D517" s="998"/>
      <c r="E517" s="111">
        <f>SUM(E516:E516)</f>
        <v>0</v>
      </c>
      <c r="F517" s="76">
        <f>SUM(F516:F516)</f>
        <v>0</v>
      </c>
      <c r="G517" s="77">
        <f ca="1">SUM(G516:G516)</f>
        <v>0</v>
      </c>
      <c r="H517" s="159">
        <f ca="1">SUM(H516:H516)</f>
        <v>0</v>
      </c>
      <c r="I517" s="1168"/>
      <c r="J517" s="1475"/>
      <c r="K517" s="1475"/>
      <c r="L517" s="1478"/>
    </row>
    <row r="518" spans="1:12" ht="17.850000000000001" customHeight="1" x14ac:dyDescent="0.45">
      <c r="A518" s="100"/>
      <c r="B518" s="985"/>
      <c r="C518" s="985"/>
      <c r="D518" s="985"/>
      <c r="E518" s="985"/>
      <c r="F518" s="985"/>
      <c r="G518" s="361"/>
      <c r="H518" s="361"/>
      <c r="I518" s="1172"/>
      <c r="J518" s="67"/>
      <c r="K518" s="67"/>
      <c r="L518" s="914"/>
    </row>
    <row r="519" spans="1:12" ht="17.850000000000001" customHeight="1" x14ac:dyDescent="0.45">
      <c r="A519" s="1347" t="s">
        <v>195</v>
      </c>
      <c r="B519" s="1348"/>
      <c r="C519" s="1348"/>
      <c r="D519" s="1348"/>
      <c r="E519" s="1348"/>
      <c r="F519" s="1348"/>
      <c r="G519" s="1348"/>
      <c r="H519" s="313">
        <v>1</v>
      </c>
      <c r="I519" s="1168"/>
      <c r="J519" s="1484" t="str">
        <f>IF(ISBLANK(H519),"Kennzeichen eingeben!","")</f>
        <v/>
      </c>
      <c r="K519" s="1484"/>
      <c r="L519" s="914"/>
    </row>
    <row r="520" spans="1:12" ht="17.850000000000001" customHeight="1" thickBot="1" x14ac:dyDescent="0.5">
      <c r="A520" s="1409" t="s">
        <v>515</v>
      </c>
      <c r="B520" s="1410"/>
      <c r="C520" s="1410"/>
      <c r="D520" s="1410"/>
      <c r="E520" s="565" t="s">
        <v>93</v>
      </c>
      <c r="F520" s="135">
        <f>IF(H519=1,E514,E514-E517)</f>
        <v>2</v>
      </c>
      <c r="G520" s="566" t="s">
        <v>94</v>
      </c>
      <c r="H520" s="160">
        <f>E517</f>
        <v>0</v>
      </c>
      <c r="I520" s="1168"/>
      <c r="J520" s="67"/>
      <c r="K520" s="67"/>
      <c r="L520" s="914"/>
    </row>
    <row r="521" spans="1:12" ht="17.850000000000001" customHeight="1" thickBot="1" x14ac:dyDescent="0.5">
      <c r="A521" s="70"/>
      <c r="B521" s="98"/>
      <c r="C521" s="973"/>
      <c r="D521" s="98" t="s">
        <v>86</v>
      </c>
      <c r="E521" s="973" t="s">
        <v>87</v>
      </c>
      <c r="F521" s="421" t="s">
        <v>164</v>
      </c>
      <c r="G521" s="418" t="s">
        <v>104</v>
      </c>
      <c r="H521" s="419" t="s">
        <v>87</v>
      </c>
      <c r="I521" s="1169"/>
      <c r="J521" s="67"/>
      <c r="K521" s="67"/>
      <c r="L521" s="914"/>
    </row>
    <row r="522" spans="1:12" ht="17.850000000000001" customHeight="1" x14ac:dyDescent="0.45">
      <c r="A522" s="70" t="s">
        <v>89</v>
      </c>
      <c r="B522" s="98"/>
      <c r="C522" s="973"/>
      <c r="D522" s="112" t="e">
        <f ca="1">G514/E514*F520</f>
        <v>#VALUE!</v>
      </c>
      <c r="E522" s="133">
        <f ca="1">H514/E514*F520</f>
        <v>0</v>
      </c>
      <c r="F522" s="420" t="s">
        <v>341</v>
      </c>
      <c r="G522" s="77" t="e">
        <f ca="1">D522</f>
        <v>#VALUE!</v>
      </c>
      <c r="H522" s="417" t="e">
        <f ca="1">D524</f>
        <v>#VALUE!</v>
      </c>
      <c r="I522" s="1169"/>
      <c r="J522" s="67"/>
      <c r="K522" s="67"/>
      <c r="L522" s="914"/>
    </row>
    <row r="523" spans="1:12" ht="17.850000000000001" customHeight="1" thickBot="1" x14ac:dyDescent="0.5">
      <c r="A523" s="115" t="s">
        <v>90</v>
      </c>
      <c r="B523" s="116"/>
      <c r="C523" s="117"/>
      <c r="D523" s="118">
        <f ca="1">G517</f>
        <v>0</v>
      </c>
      <c r="E523" s="134">
        <f ca="1">H520*H517</f>
        <v>0</v>
      </c>
      <c r="F523" s="411" t="s">
        <v>340</v>
      </c>
      <c r="G523" s="90">
        <f ca="1">D523</f>
        <v>0</v>
      </c>
      <c r="H523" s="410">
        <f ca="1">E524</f>
        <v>0</v>
      </c>
      <c r="I523" s="1169"/>
      <c r="J523" s="67"/>
      <c r="K523" s="67"/>
      <c r="L523" s="914"/>
    </row>
    <row r="524" spans="1:12" ht="17.850000000000001" customHeight="1" x14ac:dyDescent="0.45">
      <c r="A524" s="181"/>
      <c r="B524" s="177"/>
      <c r="C524" s="993" t="s">
        <v>67</v>
      </c>
      <c r="D524" s="182" t="e">
        <f ca="1">SUM(D522:D523)</f>
        <v>#VALUE!</v>
      </c>
      <c r="E524" s="183">
        <f ca="1">SUM(E522:E523)</f>
        <v>0</v>
      </c>
      <c r="F524" s="412" t="s">
        <v>105</v>
      </c>
      <c r="G524" s="178" t="e">
        <f ca="1">G523/G522</f>
        <v>#VALUE!</v>
      </c>
      <c r="H524" s="408" t="e">
        <f ca="1">H523/H522</f>
        <v>#VALUE!</v>
      </c>
      <c r="I524" s="1168"/>
      <c r="J524" s="67"/>
      <c r="K524" s="67"/>
      <c r="L524" s="914"/>
    </row>
    <row r="525" spans="1:12" ht="17.850000000000001" customHeight="1" thickBot="1" x14ac:dyDescent="0.5">
      <c r="A525" s="153"/>
      <c r="B525" s="175"/>
      <c r="C525" s="175" t="s">
        <v>220</v>
      </c>
      <c r="D525" s="184">
        <f ca="1">H$55</f>
        <v>0.12230000000000001</v>
      </c>
      <c r="E525" s="1504" t="s">
        <v>218</v>
      </c>
      <c r="F525" s="1504"/>
      <c r="G525" s="287"/>
      <c r="H525" s="314"/>
      <c r="I525" s="1170" t="str">
        <f>IF(OR(G525&lt;&gt;0,H525&lt;&gt;0),"X","")</f>
        <v/>
      </c>
      <c r="J525" s="67"/>
      <c r="K525" s="67"/>
      <c r="L525" s="914"/>
    </row>
    <row r="526" spans="1:12" ht="17.850000000000001" customHeight="1" x14ac:dyDescent="0.45">
      <c r="A526" s="181"/>
      <c r="B526" s="177"/>
      <c r="C526" s="985"/>
      <c r="D526" s="179"/>
      <c r="E526" s="1505" t="s">
        <v>219</v>
      </c>
      <c r="F526" s="1505"/>
      <c r="G526" s="178" t="e">
        <f ca="1">G524+G525</f>
        <v>#VALUE!</v>
      </c>
      <c r="H526" s="315" t="e">
        <f ca="1">H524+H525</f>
        <v>#VALUE!</v>
      </c>
      <c r="I526" s="1168"/>
      <c r="J526" s="67"/>
      <c r="K526" s="67"/>
      <c r="L526" s="914"/>
    </row>
    <row r="527" spans="1:12" ht="17.850000000000001" customHeight="1" x14ac:dyDescent="0.45">
      <c r="A527" s="119"/>
      <c r="B527" s="753"/>
      <c r="C527" s="982"/>
      <c r="D527" s="176"/>
      <c r="E527" s="130"/>
      <c r="F527" s="130"/>
      <c r="G527" s="180" t="s">
        <v>169</v>
      </c>
      <c r="H527" s="316" t="s">
        <v>170</v>
      </c>
      <c r="I527" s="1168"/>
      <c r="J527" s="67"/>
      <c r="K527" s="67"/>
      <c r="L527" s="914"/>
    </row>
    <row r="528" spans="1:12" ht="17.850000000000001" customHeight="1" x14ac:dyDescent="0.45">
      <c r="A528" s="767" t="s">
        <v>126</v>
      </c>
      <c r="B528" s="768"/>
      <c r="C528" s="768"/>
      <c r="D528" s="1460" t="s">
        <v>584</v>
      </c>
      <c r="E528" s="1460"/>
      <c r="F528" s="1460"/>
      <c r="G528" s="1476" t="e">
        <f ca="1">' K3 Regiepartie1'!M45</f>
        <v>#VALUE!</v>
      </c>
      <c r="H528" s="1477"/>
      <c r="I528" s="1168"/>
      <c r="J528" s="67"/>
      <c r="K528" s="67"/>
      <c r="L528" s="914"/>
    </row>
    <row r="529" spans="1:12" ht="17.850000000000001" customHeight="1" x14ac:dyDescent="0.45">
      <c r="A529" s="1502"/>
      <c r="B529" s="1503"/>
      <c r="C529" s="1503"/>
      <c r="D529" s="1503"/>
      <c r="E529" s="1503"/>
      <c r="F529" s="1503"/>
      <c r="G529" s="1503"/>
      <c r="H529" s="1503"/>
      <c r="I529" s="1168"/>
      <c r="J529" s="67"/>
      <c r="K529" s="67"/>
      <c r="L529" s="914"/>
    </row>
    <row r="530" spans="1:12" ht="17.850000000000001" customHeight="1" x14ac:dyDescent="0.45">
      <c r="A530" s="1485" t="s">
        <v>222</v>
      </c>
      <c r="B530" s="1486"/>
      <c r="C530" s="1486"/>
      <c r="D530" s="1487"/>
      <c r="E530" s="1422" t="s">
        <v>155</v>
      </c>
      <c r="F530" s="1422" t="s">
        <v>214</v>
      </c>
      <c r="G530" s="1422" t="s">
        <v>217</v>
      </c>
      <c r="H530" s="1494" t="s">
        <v>156</v>
      </c>
      <c r="I530" s="1173"/>
      <c r="J530" s="67"/>
      <c r="K530" s="67"/>
      <c r="L530" s="914"/>
    </row>
    <row r="531" spans="1:12" ht="17.850000000000001" customHeight="1" x14ac:dyDescent="0.45">
      <c r="A531" s="1488"/>
      <c r="B531" s="1489"/>
      <c r="C531" s="1489"/>
      <c r="D531" s="1490"/>
      <c r="E531" s="1423"/>
      <c r="F531" s="1423"/>
      <c r="G531" s="1423"/>
      <c r="H531" s="1495"/>
      <c r="I531" s="1173"/>
      <c r="J531" s="67"/>
      <c r="K531" s="67"/>
      <c r="L531" s="914"/>
    </row>
    <row r="532" spans="1:12" ht="17.850000000000001" customHeight="1" x14ac:dyDescent="0.45">
      <c r="A532" s="1491"/>
      <c r="B532" s="1492"/>
      <c r="C532" s="1492"/>
      <c r="D532" s="1493"/>
      <c r="E532" s="1424"/>
      <c r="F532" s="1424"/>
      <c r="G532" s="1424"/>
      <c r="H532" s="1496"/>
      <c r="I532" s="1168"/>
      <c r="J532" s="67"/>
      <c r="K532" s="67"/>
      <c r="L532" s="914"/>
    </row>
    <row r="533" spans="1:12" ht="17.850000000000001" customHeight="1" x14ac:dyDescent="0.45">
      <c r="A533" s="1499" t="s">
        <v>319</v>
      </c>
      <c r="B533" s="1499"/>
      <c r="C533" s="1499"/>
      <c r="D533" s="1411"/>
      <c r="E533" s="346">
        <v>0</v>
      </c>
      <c r="F533" s="345"/>
      <c r="G533" s="283"/>
      <c r="H533" s="346">
        <f>IF(ISBLANK(G533),E533,G533)</f>
        <v>0</v>
      </c>
      <c r="I533" s="1170" t="str">
        <f>IF(G533&lt;&gt;0,"X","")</f>
        <v/>
      </c>
      <c r="J533" s="67"/>
      <c r="K533" s="67"/>
      <c r="L533" s="914"/>
    </row>
    <row r="534" spans="1:12" ht="17.850000000000001" customHeight="1" x14ac:dyDescent="0.45">
      <c r="A534" s="1511" t="s">
        <v>152</v>
      </c>
      <c r="B534" s="1512"/>
      <c r="C534" s="1512"/>
      <c r="D534" s="1512"/>
      <c r="E534" s="353">
        <v>1</v>
      </c>
      <c r="F534" s="339"/>
      <c r="G534" s="354"/>
      <c r="H534" s="355">
        <f>IF(F534=1,G534,E534)</f>
        <v>1</v>
      </c>
      <c r="I534" s="1171"/>
      <c r="J534" s="67"/>
      <c r="K534" s="67"/>
      <c r="L534" s="914"/>
    </row>
    <row r="535" spans="1:12" ht="17.850000000000001" customHeight="1" x14ac:dyDescent="0.45">
      <c r="A535" s="1419" t="s">
        <v>471</v>
      </c>
      <c r="B535" s="1420"/>
      <c r="C535" s="1420"/>
      <c r="D535" s="1421"/>
      <c r="E535" s="369"/>
      <c r="F535" s="313">
        <v>0</v>
      </c>
      <c r="G535" s="377"/>
      <c r="H535" s="374"/>
      <c r="I535" s="1170" t="str">
        <f>IF(F535&lt;&gt;0,"X","")</f>
        <v/>
      </c>
      <c r="J535" s="1484" t="str">
        <f>IF(F535+F539+F543&gt;1,"Zusätzlich mit Verrechnungsstd.?","")</f>
        <v/>
      </c>
      <c r="K535" s="1484"/>
      <c r="L535" s="914"/>
    </row>
    <row r="536" spans="1:12" ht="17.850000000000001" customHeight="1" x14ac:dyDescent="0.45">
      <c r="A536" s="340" t="s">
        <v>124</v>
      </c>
      <c r="B536" s="1459"/>
      <c r="C536" s="1459"/>
      <c r="D536" s="1459"/>
      <c r="E536" s="341">
        <f ca="1">IFERROR(VLOOKUP(B536,Stammdaten!A$39:C$48,3,FALSE),"")</f>
        <v>0</v>
      </c>
      <c r="F536" s="373"/>
      <c r="G536" s="379"/>
      <c r="H536" s="375"/>
      <c r="I536" s="1171"/>
      <c r="J536" s="1484" t="str">
        <f ca="1">IF(AND(F535=1,E536=0),"Arbeitszeitzuschlag auswählen!","")</f>
        <v/>
      </c>
      <c r="K536" s="1484"/>
      <c r="L536" s="914"/>
    </row>
    <row r="537" spans="1:12" ht="17.850000000000001" customHeight="1" x14ac:dyDescent="0.45">
      <c r="A537" s="1479" t="s">
        <v>198</v>
      </c>
      <c r="B537" s="1480"/>
      <c r="C537" s="1480"/>
      <c r="D537" s="1480"/>
      <c r="E537" s="342">
        <f ca="1">IFERROR(IF(VLOOKUP(B536,Stammdaten!A$39:C$48,2,FALSE)=0,1,(VLOOKUP(B536,Stammdaten!A$39:C$48,2,FALSE))),"")</f>
        <v>1</v>
      </c>
      <c r="F537" s="373"/>
      <c r="G537" s="378"/>
      <c r="H537" s="376"/>
      <c r="I537" s="1171"/>
      <c r="J537" s="67"/>
      <c r="K537" s="67"/>
      <c r="L537" s="914"/>
    </row>
    <row r="538" spans="1:12" ht="17.850000000000001" customHeight="1" x14ac:dyDescent="0.45">
      <c r="A538" s="1416" t="s">
        <v>474</v>
      </c>
      <c r="B538" s="1417"/>
      <c r="C538" s="1417"/>
      <c r="D538" s="1418"/>
      <c r="E538" s="372"/>
      <c r="F538" s="484"/>
      <c r="G538" s="380" t="str">
        <f>IF(F538=1,1,IF(F538=2,((' K3 Regiepartie1'!O$23+' K3 Regiepartie1'!O$24)/' K3 Regiepartie1'!O$23),IF(F538&gt;2,((' K3 Regiepartie1'!O$23+' K3 Regiepartie1'!O$24+' K3 Regiepartie1'!O$25)/' K3 Regiepartie1'!O$23),"")))</f>
        <v/>
      </c>
      <c r="H538" s="375">
        <f>IF(F535*F538&gt;0,(E536*E537*G538),0)</f>
        <v>0</v>
      </c>
      <c r="I538" s="1171"/>
      <c r="J538" s="1484" t="str">
        <f>IF(AND(ISBLANK(F538),F535=1),"Kennzeichen setzen!","")</f>
        <v/>
      </c>
      <c r="K538" s="1484"/>
      <c r="L538" s="914"/>
    </row>
    <row r="539" spans="1:12" ht="17.850000000000001" customHeight="1" x14ac:dyDescent="0.45">
      <c r="A539" s="1419" t="s">
        <v>472</v>
      </c>
      <c r="B539" s="1420"/>
      <c r="C539" s="1420"/>
      <c r="D539" s="1421"/>
      <c r="E539" s="369"/>
      <c r="F539" s="313">
        <v>0</v>
      </c>
      <c r="G539" s="377"/>
      <c r="H539" s="374"/>
      <c r="I539" s="1170" t="str">
        <f>IF(F539&lt;&gt;0,"X","")</f>
        <v/>
      </c>
      <c r="J539" s="1484"/>
      <c r="K539" s="1484"/>
      <c r="L539" s="914"/>
    </row>
    <row r="540" spans="1:12" ht="17.850000000000001" customHeight="1" x14ac:dyDescent="0.45">
      <c r="A540" s="340" t="s">
        <v>329</v>
      </c>
      <c r="B540" s="1459"/>
      <c r="C540" s="1459"/>
      <c r="D540" s="1459"/>
      <c r="E540" s="341">
        <f ca="1">IFERROR(VLOOKUP(B540,Stammdaten!A$50:C$54,3,FALSE),"")</f>
        <v>0</v>
      </c>
      <c r="F540" s="373"/>
      <c r="G540" s="379"/>
      <c r="H540" s="375"/>
      <c r="I540" s="1171"/>
      <c r="J540" s="978"/>
      <c r="K540" s="757"/>
      <c r="L540" s="914"/>
    </row>
    <row r="541" spans="1:12" ht="17.850000000000001" customHeight="1" x14ac:dyDescent="0.45">
      <c r="A541" s="1479" t="s">
        <v>330</v>
      </c>
      <c r="B541" s="1480"/>
      <c r="C541" s="1480"/>
      <c r="D541" s="1480"/>
      <c r="E541" s="342">
        <f ca="1">IFERROR(IF(VLOOKUP(B540,Stammdaten!A$50:C$54,2,FALSE)=0,1,(VLOOKUP(B540,Stammdaten!A$50:C$54,2,FALSE))),"")</f>
        <v>1</v>
      </c>
      <c r="F541" s="373"/>
      <c r="G541" s="378"/>
      <c r="H541" s="376"/>
      <c r="I541" s="1171"/>
      <c r="J541" s="978"/>
      <c r="K541" s="757"/>
      <c r="L541" s="914"/>
    </row>
    <row r="542" spans="1:12" ht="17.850000000000001" customHeight="1" x14ac:dyDescent="0.45">
      <c r="A542" s="1416" t="s">
        <v>474</v>
      </c>
      <c r="B542" s="1417"/>
      <c r="C542" s="1417"/>
      <c r="D542" s="1418"/>
      <c r="E542" s="372"/>
      <c r="F542" s="484"/>
      <c r="G542" s="380" t="str">
        <f>IF(F542=1,1,IF(F542=2,((' K3 Regiepartie1'!O$23+' K3 Regiepartie1'!O$24)/' K3 Regiepartie1'!O$23),IF(F542&gt;2,((' K3 Regiepartie1'!O$23+' K3 Regiepartie1'!O$24+' K3 Regiepartie1'!O$25)/' K3 Regiepartie1'!O$23),"")))</f>
        <v/>
      </c>
      <c r="H542" s="375">
        <f>IF(F539*F542&gt;0,(E540*E541*G542),0)</f>
        <v>0</v>
      </c>
      <c r="I542" s="1171"/>
      <c r="J542" s="1484" t="str">
        <f>IF(AND(ISBLANK(F542),F539=1),"Kennzeichen setzen!","")</f>
        <v/>
      </c>
      <c r="K542" s="1484"/>
      <c r="L542" s="914"/>
    </row>
    <row r="543" spans="1:12" ht="17.850000000000001" customHeight="1" x14ac:dyDescent="0.45">
      <c r="A543" s="1419" t="s">
        <v>473</v>
      </c>
      <c r="B543" s="1420"/>
      <c r="C543" s="1420"/>
      <c r="D543" s="1421"/>
      <c r="E543" s="369"/>
      <c r="F543" s="174">
        <v>0</v>
      </c>
      <c r="G543" s="370"/>
      <c r="H543" s="371"/>
      <c r="I543" s="1170" t="str">
        <f>IF(F543&lt;&gt;0,"X","")</f>
        <v/>
      </c>
      <c r="J543" s="1484"/>
      <c r="K543" s="1484"/>
      <c r="L543" s="914"/>
    </row>
    <row r="544" spans="1:12" ht="17.850000000000001" customHeight="1" thickBot="1" x14ac:dyDescent="0.5">
      <c r="A544" s="382" t="s">
        <v>331</v>
      </c>
      <c r="B544" s="1481"/>
      <c r="C544" s="1481"/>
      <c r="D544" s="1481"/>
      <c r="E544" s="383">
        <f ca="1">IFERROR(VLOOKUP(B544,Stammdaten!A$56:C$60,2,FALSE),"")</f>
        <v>0</v>
      </c>
      <c r="F544" s="384" t="s">
        <v>328</v>
      </c>
      <c r="G544" s="385" t="e">
        <f ca="1">' K3 Regiepartie1'!$O$21</f>
        <v>#VALUE!</v>
      </c>
      <c r="H544" s="386">
        <f>IF(F543=1,E544/G544,0)</f>
        <v>0</v>
      </c>
      <c r="I544" s="1171"/>
      <c r="J544" s="978"/>
      <c r="K544" s="757"/>
      <c r="L544" s="914"/>
    </row>
    <row r="545" spans="1:12" ht="17.850000000000001" customHeight="1" thickBot="1" x14ac:dyDescent="0.5">
      <c r="A545" s="542" t="s">
        <v>157</v>
      </c>
      <c r="B545" s="381"/>
      <c r="C545" s="381"/>
      <c r="D545" s="381"/>
      <c r="E545" s="357"/>
      <c r="F545" s="357"/>
      <c r="G545" s="357"/>
      <c r="H545" s="358">
        <f>SUM(H535:H544)</f>
        <v>0</v>
      </c>
      <c r="I545" s="1171"/>
      <c r="J545" s="67"/>
      <c r="K545" s="67"/>
      <c r="L545" s="914"/>
    </row>
    <row r="546" spans="1:12" ht="17.850000000000001" customHeight="1" x14ac:dyDescent="0.45">
      <c r="A546" s="1416" t="s">
        <v>324</v>
      </c>
      <c r="B546" s="1417"/>
      <c r="C546" s="1417"/>
      <c r="D546" s="1418"/>
      <c r="E546" s="271">
        <f ca="1">$H$139</f>
        <v>1.21</v>
      </c>
      <c r="F546" s="343"/>
      <c r="G546" s="344"/>
      <c r="H546" s="324">
        <f t="shared" ref="H546:H551" ca="1" si="19">IF(ISBLANK(G546),E546,G546)</f>
        <v>1.21</v>
      </c>
      <c r="I546" s="1170" t="str">
        <f t="shared" ref="I546:I551" ca="1" si="20">IF(OR(G546&lt;&gt;0,E546&lt;&gt;H546),"X","")</f>
        <v/>
      </c>
      <c r="J546" s="67"/>
      <c r="K546" s="67"/>
      <c r="L546" s="914"/>
    </row>
    <row r="547" spans="1:12" ht="17.850000000000001" customHeight="1" x14ac:dyDescent="0.45">
      <c r="A547" s="1411" t="s">
        <v>332</v>
      </c>
      <c r="B547" s="1412"/>
      <c r="C547" s="1412"/>
      <c r="D547" s="1413"/>
      <c r="E547" s="189">
        <f ca="1">$G$138</f>
        <v>0.94</v>
      </c>
      <c r="F547" s="345"/>
      <c r="G547" s="284"/>
      <c r="H547" s="325">
        <f t="shared" ca="1" si="19"/>
        <v>0.94</v>
      </c>
      <c r="I547" s="1170" t="str">
        <f t="shared" ca="1" si="20"/>
        <v/>
      </c>
      <c r="J547" s="67"/>
      <c r="K547" s="67"/>
      <c r="L547" s="914"/>
    </row>
    <row r="548" spans="1:12" ht="17.850000000000001" customHeight="1" x14ac:dyDescent="0.45">
      <c r="A548" s="1411" t="s">
        <v>158</v>
      </c>
      <c r="B548" s="1412"/>
      <c r="C548" s="1412"/>
      <c r="D548" s="1413"/>
      <c r="E548" s="346">
        <f ca="1">$H$179</f>
        <v>0.28110000000000002</v>
      </c>
      <c r="F548" s="345"/>
      <c r="G548" s="283"/>
      <c r="H548" s="347">
        <f t="shared" ca="1" si="19"/>
        <v>0.28110000000000002</v>
      </c>
      <c r="I548" s="1170" t="str">
        <f t="shared" ca="1" si="20"/>
        <v/>
      </c>
      <c r="J548" s="67"/>
      <c r="K548" s="67"/>
      <c r="L548" s="914"/>
    </row>
    <row r="549" spans="1:12" ht="17.850000000000001" customHeight="1" x14ac:dyDescent="0.45">
      <c r="A549" s="1411" t="s">
        <v>325</v>
      </c>
      <c r="B549" s="1412"/>
      <c r="C549" s="1412"/>
      <c r="D549" s="1413"/>
      <c r="E549" s="346">
        <f ca="1">$H$198</f>
        <v>0.82350000000000001</v>
      </c>
      <c r="F549" s="345"/>
      <c r="G549" s="283"/>
      <c r="H549" s="347">
        <f t="shared" ca="1" si="19"/>
        <v>0.82350000000000001</v>
      </c>
      <c r="I549" s="1170" t="str">
        <f t="shared" ca="1" si="20"/>
        <v/>
      </c>
      <c r="J549" s="67"/>
      <c r="K549" s="67"/>
      <c r="L549" s="914"/>
    </row>
    <row r="550" spans="1:12" ht="17.850000000000001" customHeight="1" x14ac:dyDescent="0.45">
      <c r="A550" s="1411" t="s">
        <v>159</v>
      </c>
      <c r="B550" s="1412"/>
      <c r="C550" s="1412"/>
      <c r="D550" s="1413"/>
      <c r="E550" s="346">
        <f ca="1">$H$211</f>
        <v>0</v>
      </c>
      <c r="F550" s="345"/>
      <c r="G550" s="283"/>
      <c r="H550" s="347">
        <f t="shared" ca="1" si="19"/>
        <v>0</v>
      </c>
      <c r="I550" s="1170" t="str">
        <f t="shared" ca="1" si="20"/>
        <v/>
      </c>
      <c r="J550" s="67"/>
      <c r="K550" s="67"/>
      <c r="L550" s="914"/>
    </row>
    <row r="551" spans="1:12" ht="17.850000000000001" customHeight="1" x14ac:dyDescent="0.45">
      <c r="A551" s="1411" t="s">
        <v>160</v>
      </c>
      <c r="B551" s="1412"/>
      <c r="C551" s="1412"/>
      <c r="D551" s="1413"/>
      <c r="E551" s="743">
        <f ca="1">$F$238</f>
        <v>0.18554999999999999</v>
      </c>
      <c r="F551" s="345"/>
      <c r="G551" s="740"/>
      <c r="H551" s="744">
        <f t="shared" ca="1" si="19"/>
        <v>0.18554999999999999</v>
      </c>
      <c r="I551" s="1170" t="str">
        <f t="shared" ca="1" si="20"/>
        <v/>
      </c>
      <c r="J551" s="67"/>
      <c r="K551" s="67"/>
      <c r="L551" s="914"/>
    </row>
    <row r="552" spans="1:12" ht="17.850000000000001" customHeight="1" x14ac:dyDescent="0.45">
      <c r="A552" s="1414" t="s">
        <v>131</v>
      </c>
      <c r="B552" s="1415"/>
      <c r="C552" s="1415"/>
      <c r="D552" s="1415"/>
      <c r="E552" s="1415"/>
      <c r="F552" s="1415"/>
      <c r="G552" s="1415"/>
      <c r="H552" s="1415"/>
      <c r="I552" s="1171"/>
      <c r="J552" s="67"/>
      <c r="K552" s="67"/>
      <c r="L552" s="914"/>
    </row>
    <row r="553" spans="1:12" ht="17.850000000000001" customHeight="1" x14ac:dyDescent="0.45">
      <c r="A553" s="1396" t="s">
        <v>153</v>
      </c>
      <c r="B553" s="1397"/>
      <c r="C553" s="1397"/>
      <c r="D553" s="1397"/>
      <c r="E553" s="387" t="str">
        <f>IF(OR(F$262&lt;&gt;SUM(F554:F556),G$262&lt;&gt;SUM(G554:G556)),"!","")</f>
        <v/>
      </c>
      <c r="F553" s="131" t="s">
        <v>83</v>
      </c>
      <c r="G553" s="131" t="s">
        <v>111</v>
      </c>
      <c r="H553" s="349"/>
      <c r="I553" s="1171"/>
      <c r="J553" s="1513" t="str">
        <f>IF(E553="!","Warnung: Es sind nicht alle Umlagen ausgewählt!","")</f>
        <v/>
      </c>
      <c r="K553" s="1513"/>
      <c r="L553" s="914"/>
    </row>
    <row r="554" spans="1:12" ht="17.850000000000001" customHeight="1" x14ac:dyDescent="0.45">
      <c r="A554" s="1453" t="s">
        <v>644</v>
      </c>
      <c r="B554" s="1454"/>
      <c r="C554" s="1454"/>
      <c r="D554" s="1454"/>
      <c r="E554" s="1454"/>
      <c r="F554" s="349" t="str">
        <f>IFERROR(VLOOKUP(A554,A$252:G$256,6,FALSE),"")</f>
        <v/>
      </c>
      <c r="G554" s="359" t="str">
        <f>IFERROR(VLOOKUP(A554,A$252:G$256,7,FALSE),"")</f>
        <v/>
      </c>
      <c r="H554" s="163"/>
      <c r="I554" s="1171"/>
      <c r="J554" s="1513"/>
      <c r="K554" s="1513"/>
      <c r="L554" s="914"/>
    </row>
    <row r="555" spans="1:12" ht="17.850000000000001" customHeight="1" x14ac:dyDescent="0.45">
      <c r="A555" s="1455" t="s">
        <v>125</v>
      </c>
      <c r="B555" s="1456"/>
      <c r="C555" s="1456"/>
      <c r="D555" s="1456"/>
      <c r="E555" s="1456"/>
      <c r="F555" s="163" t="str">
        <f>IFERROR(VLOOKUP(A555,A$252:G$256,6,FALSE),"")</f>
        <v/>
      </c>
      <c r="G555" s="356">
        <f>IFERROR(VLOOKUP(A555,A$252:G$256,7,FALSE),"")</f>
        <v>0</v>
      </c>
      <c r="H555" s="163"/>
      <c r="I555" s="1171"/>
      <c r="J555" s="67"/>
      <c r="K555" s="67"/>
      <c r="L555" s="914"/>
    </row>
    <row r="556" spans="1:12" ht="17.850000000000001" customHeight="1" x14ac:dyDescent="0.45">
      <c r="A556" s="1457"/>
      <c r="B556" s="1458"/>
      <c r="C556" s="1458"/>
      <c r="D556" s="1458"/>
      <c r="E556" s="1458"/>
      <c r="F556" s="159" t="str">
        <f>IFERROR(VLOOKUP(A556,A$252:G$256,6,FALSE),"")</f>
        <v/>
      </c>
      <c r="G556" s="352" t="str">
        <f>IFERROR(VLOOKUP(A556,A$252:G$256,7,FALSE),"")</f>
        <v/>
      </c>
      <c r="H556" s="159"/>
      <c r="I556" s="1171"/>
      <c r="J556" s="67"/>
      <c r="K556" s="67"/>
      <c r="L556" s="914"/>
    </row>
    <row r="557" spans="1:12" ht="17.850000000000001" customHeight="1" x14ac:dyDescent="0.45">
      <c r="A557" s="1347" t="s">
        <v>154</v>
      </c>
      <c r="B557" s="1348"/>
      <c r="C557" s="1348"/>
      <c r="D557" s="1348"/>
      <c r="E557" s="1348"/>
      <c r="F557" s="1348"/>
      <c r="G557" s="1349"/>
      <c r="H557" s="713">
        <f>$G$267</f>
        <v>0.25802999999999998</v>
      </c>
      <c r="I557" s="1171"/>
      <c r="J557" s="67"/>
      <c r="K557" s="67"/>
      <c r="L557" s="914"/>
    </row>
    <row r="558" spans="1:12" ht="17.850000000000001" customHeight="1" x14ac:dyDescent="0.45">
      <c r="A558" s="1396" t="s">
        <v>162</v>
      </c>
      <c r="B558" s="1397"/>
      <c r="C558" s="1397"/>
      <c r="D558" s="1397"/>
      <c r="E558" s="1397"/>
      <c r="F558" s="1397"/>
      <c r="G558" s="1397"/>
      <c r="H558" s="1397"/>
      <c r="I558" s="1168"/>
      <c r="J558" s="67"/>
      <c r="K558" s="67"/>
      <c r="L558" s="914"/>
    </row>
    <row r="559" spans="1:12" ht="17.850000000000001" customHeight="1" x14ac:dyDescent="0.45">
      <c r="A559" s="1398" t="s">
        <v>683</v>
      </c>
      <c r="B559" s="1399"/>
      <c r="C559" s="1399"/>
      <c r="D559" s="1400"/>
      <c r="E559" s="711">
        <f>IFERROR(VLOOKUP(A559,'K2 GZ'!H$21:L$26,5,FALSE),"&lt;--prüfen")</f>
        <v>0.25802999999999998</v>
      </c>
      <c r="F559" s="1401" t="str">
        <f>IF(OR(E559&lt;0.01,E559=""),"GZ prüfen","")</f>
        <v/>
      </c>
      <c r="G559" s="1402"/>
      <c r="H559" s="712">
        <f>E559</f>
        <v>0.25802999999999998</v>
      </c>
      <c r="I559" s="1171"/>
      <c r="J559" s="67"/>
      <c r="K559" s="67"/>
      <c r="L559" s="914"/>
    </row>
    <row r="560" spans="1:12" ht="17.850000000000001" customHeight="1" thickBot="1" x14ac:dyDescent="0.5">
      <c r="A560" s="767" t="s">
        <v>126</v>
      </c>
      <c r="B560" s="768"/>
      <c r="C560" s="768"/>
      <c r="D560" s="1460" t="s">
        <v>584</v>
      </c>
      <c r="E560" s="1460"/>
      <c r="F560" s="1460"/>
      <c r="G560" s="1497" t="e">
        <f ca="1">' K3 Regiepartie1'!M45</f>
        <v>#VALUE!</v>
      </c>
      <c r="H560" s="1498"/>
      <c r="I560" s="1168"/>
      <c r="J560" s="69"/>
      <c r="K560" s="69"/>
      <c r="L560" s="929"/>
    </row>
    <row r="561" spans="1:9" ht="17.850000000000001" customHeight="1" thickBot="1" x14ac:dyDescent="0.5">
      <c r="A561" s="1425"/>
      <c r="B561" s="1426"/>
      <c r="C561" s="1426"/>
      <c r="D561" s="1426"/>
      <c r="E561" s="1426"/>
      <c r="F561" s="1427"/>
      <c r="G561" s="1390"/>
      <c r="H561" s="1391"/>
      <c r="I561" s="1392"/>
    </row>
    <row r="562" spans="1:9" ht="17.850000000000001" customHeight="1" x14ac:dyDescent="0.45">
      <c r="A562" s="66"/>
      <c r="B562" s="67"/>
      <c r="C562" s="67"/>
      <c r="D562" s="67"/>
      <c r="E562" s="67"/>
      <c r="F562" s="67"/>
      <c r="G562" s="67"/>
      <c r="H562" s="67"/>
      <c r="I562" s="1048"/>
    </row>
    <row r="563" spans="1:9" ht="17.850000000000001" customHeight="1" x14ac:dyDescent="0.45">
      <c r="A563" s="1014" t="s">
        <v>673</v>
      </c>
      <c r="B563" s="1015"/>
      <c r="C563" s="1015"/>
      <c r="D563" s="1015"/>
      <c r="E563" s="1015"/>
      <c r="F563" s="1015"/>
      <c r="G563" s="1015"/>
      <c r="H563" s="1015"/>
      <c r="I563" s="1174"/>
    </row>
    <row r="564" spans="1:9" ht="17.850000000000001" customHeight="1" x14ac:dyDescent="0.45">
      <c r="A564" s="1388" t="s">
        <v>663</v>
      </c>
      <c r="B564" s="1389"/>
      <c r="C564" s="1389"/>
      <c r="D564" s="1389"/>
      <c r="E564" s="1389"/>
      <c r="F564" s="67"/>
      <c r="G564" s="67"/>
      <c r="H564" s="67"/>
      <c r="I564" s="1123"/>
    </row>
    <row r="565" spans="1:9" ht="17.850000000000001" customHeight="1" x14ac:dyDescent="0.45">
      <c r="A565" s="1072" t="s">
        <v>601</v>
      </c>
      <c r="B565" s="87"/>
      <c r="C565" s="87"/>
      <c r="D565" s="1073"/>
      <c r="E565" s="1040"/>
      <c r="F565" s="67"/>
      <c r="G565" s="1955"/>
      <c r="H565" s="1955"/>
      <c r="I565" s="1123"/>
    </row>
    <row r="566" spans="1:9" ht="17.850000000000001" customHeight="1" x14ac:dyDescent="0.45">
      <c r="A566" s="863" t="s">
        <v>602</v>
      </c>
      <c r="B566" s="67"/>
      <c r="C566" s="67"/>
      <c r="D566" s="1956" t="str">
        <f ca="1">IFERROR(' K3 PP'!M39,"")</f>
        <v/>
      </c>
      <c r="E566" s="1956"/>
      <c r="F566" s="67"/>
      <c r="G566" s="67"/>
      <c r="H566" s="67"/>
      <c r="I566" s="1123"/>
    </row>
    <row r="567" spans="1:9" ht="17.850000000000001" customHeight="1" x14ac:dyDescent="0.45">
      <c r="A567" s="1074" t="s">
        <v>603</v>
      </c>
      <c r="B567" s="69"/>
      <c r="C567" s="69"/>
      <c r="D567" s="1957">
        <f ca="1">' K3 PP'!O39</f>
        <v>51</v>
      </c>
      <c r="E567" s="1957"/>
      <c r="F567" s="67"/>
      <c r="G567" s="67"/>
      <c r="H567" s="67"/>
      <c r="I567" s="1123"/>
    </row>
    <row r="568" spans="1:9" ht="17.850000000000001" customHeight="1" x14ac:dyDescent="0.45">
      <c r="A568" s="1076" t="s">
        <v>116</v>
      </c>
      <c r="B568" s="67"/>
      <c r="C568" s="67"/>
      <c r="D568" s="1956"/>
      <c r="E568" s="1956"/>
      <c r="F568" s="67"/>
      <c r="G568" s="67"/>
      <c r="H568" s="67"/>
      <c r="I568" s="1123"/>
    </row>
    <row r="569" spans="1:9" ht="17.850000000000001" customHeight="1" x14ac:dyDescent="0.45">
      <c r="A569" s="863" t="s">
        <v>602</v>
      </c>
      <c r="B569" s="67"/>
      <c r="C569" s="864" t="str">
        <f ca="1">IFERROR(' K3 PP'!I43,"")</f>
        <v/>
      </c>
      <c r="D569" s="1956" t="str">
        <f ca="1">IFERROR(C569*D566,"")</f>
        <v/>
      </c>
      <c r="E569" s="1956"/>
      <c r="F569" s="67"/>
      <c r="G569" s="67"/>
      <c r="H569" s="67"/>
      <c r="I569" s="1123"/>
    </row>
    <row r="570" spans="1:9" ht="17.850000000000001" customHeight="1" x14ac:dyDescent="0.45">
      <c r="A570" s="863" t="s">
        <v>603</v>
      </c>
      <c r="B570" s="67"/>
      <c r="C570" s="864">
        <f>' K3 PP'!K43</f>
        <v>0.25802999999999998</v>
      </c>
      <c r="D570" s="1956">
        <f ca="1">C570*D567</f>
        <v>13.16</v>
      </c>
      <c r="E570" s="1956"/>
      <c r="F570" s="67"/>
      <c r="G570" s="67"/>
      <c r="H570" s="67"/>
      <c r="I570" s="1123"/>
    </row>
    <row r="571" spans="1:9" ht="17.850000000000001" customHeight="1" x14ac:dyDescent="0.45">
      <c r="A571" s="78" t="s">
        <v>604</v>
      </c>
      <c r="B571" s="865"/>
      <c r="C571" s="865"/>
      <c r="D571" s="1958">
        <f ca="1">SUM(D566:D570)</f>
        <v>64.16</v>
      </c>
      <c r="E571" s="1958"/>
      <c r="F571" s="67"/>
      <c r="G571" s="67"/>
      <c r="H571" s="67"/>
      <c r="I571" s="1123"/>
    </row>
    <row r="572" spans="1:9" ht="17.850000000000001" customHeight="1" x14ac:dyDescent="0.45">
      <c r="A572" s="1175"/>
      <c r="B572" s="67"/>
      <c r="C572" s="67"/>
      <c r="D572" s="67"/>
      <c r="E572" s="67"/>
      <c r="F572" s="67"/>
      <c r="G572" s="67"/>
      <c r="H572" s="67"/>
      <c r="I572" s="1123"/>
    </row>
    <row r="573" spans="1:9" ht="17.850000000000001" customHeight="1" x14ac:dyDescent="0.45">
      <c r="A573" s="86"/>
      <c r="B573" s="87"/>
      <c r="C573" s="1384" t="s">
        <v>86</v>
      </c>
      <c r="D573" s="1382" t="s">
        <v>672</v>
      </c>
      <c r="E573" s="1384" t="s">
        <v>669</v>
      </c>
      <c r="F573" s="1382" t="s">
        <v>670</v>
      </c>
      <c r="G573" s="1382" t="s">
        <v>691</v>
      </c>
      <c r="H573" s="1386" t="s">
        <v>671</v>
      </c>
      <c r="I573" s="1123"/>
    </row>
    <row r="574" spans="1:9" ht="17.850000000000001" customHeight="1" x14ac:dyDescent="0.45">
      <c r="A574" s="66"/>
      <c r="B574" s="67"/>
      <c r="C574" s="1385"/>
      <c r="D574" s="1383"/>
      <c r="E574" s="1385"/>
      <c r="F574" s="1383"/>
      <c r="G574" s="1383"/>
      <c r="H574" s="1387"/>
      <c r="I574" s="1123"/>
    </row>
    <row r="575" spans="1:9" ht="17.850000000000001" customHeight="1" thickBot="1" x14ac:dyDescent="0.5">
      <c r="A575" s="66"/>
      <c r="B575" s="67"/>
      <c r="C575" s="1385"/>
      <c r="D575" s="1383"/>
      <c r="E575" s="1385"/>
      <c r="F575" s="1383"/>
      <c r="G575" s="1383"/>
      <c r="H575" s="1387"/>
      <c r="I575" s="1123"/>
    </row>
    <row r="576" spans="1:9" ht="17.850000000000001" customHeight="1" x14ac:dyDescent="0.45">
      <c r="A576" s="1949" t="s">
        <v>667</v>
      </c>
      <c r="B576" s="1950"/>
      <c r="C576" s="1084">
        <f ca="1">' K3 PP'!O21</f>
        <v>16</v>
      </c>
      <c r="D576" s="1085">
        <f ca="1">' K3 PP'!O23</f>
        <v>17</v>
      </c>
      <c r="E576" s="1084">
        <f ca="1">' K3 PP'!O28</f>
        <v>20</v>
      </c>
      <c r="F576" s="1078">
        <f ca="1">' K3 PP'!O29+' K3 PP'!O30+' K3 PP'!O31+' K3 PP'!O32</f>
        <v>23.03</v>
      </c>
      <c r="G576" s="1078">
        <f ca="1">SUM(' K3 PP'!O34,' K3 PP'!M39)</f>
        <v>7.98</v>
      </c>
      <c r="H576" s="1079">
        <f ca="1">SUM(' K3 PP'!M43,' K3 PP'!O43)</f>
        <v>13</v>
      </c>
      <c r="I576" s="1123"/>
    </row>
    <row r="577" spans="1:9" ht="17.850000000000001" customHeight="1" x14ac:dyDescent="0.45">
      <c r="A577" s="974"/>
      <c r="B577" s="975"/>
      <c r="C577" s="1077"/>
      <c r="D577" s="207"/>
      <c r="E577" s="1077"/>
      <c r="F577" s="1086">
        <f ca="1">E576+F576</f>
        <v>43.03</v>
      </c>
      <c r="G577" s="1086">
        <f ca="1">F577+G576</f>
        <v>51.01</v>
      </c>
      <c r="H577" s="1087">
        <f ca="1">G577+H576</f>
        <v>64.010000000000005</v>
      </c>
      <c r="I577" s="1123"/>
    </row>
    <row r="578" spans="1:9" ht="17.850000000000001" customHeight="1" thickBot="1" x14ac:dyDescent="0.5">
      <c r="A578" s="991"/>
      <c r="B578" s="992"/>
      <c r="C578" s="1080" t="s">
        <v>71</v>
      </c>
      <c r="D578" s="1081">
        <f ca="1">D576/$C576-1</f>
        <v>6.25E-2</v>
      </c>
      <c r="E578" s="1082">
        <f ca="1">E576/$C576-1</f>
        <v>0.25</v>
      </c>
      <c r="F578" s="1081">
        <f ca="1">F577/$C576-1</f>
        <v>1.6894</v>
      </c>
      <c r="G578" s="1081">
        <f ca="1">G577/$C576-1</f>
        <v>2.1880999999999999</v>
      </c>
      <c r="H578" s="1083">
        <f ca="1">H577/$C576-1</f>
        <v>3.0005999999999999</v>
      </c>
      <c r="I578" s="1123"/>
    </row>
    <row r="579" spans="1:9" ht="17.850000000000001" customHeight="1" thickBot="1" x14ac:dyDescent="0.5">
      <c r="A579" s="66"/>
      <c r="B579" s="67"/>
      <c r="C579" s="67"/>
      <c r="D579" s="67"/>
      <c r="E579" s="67"/>
      <c r="F579" s="67"/>
      <c r="G579" s="67"/>
      <c r="H579" s="67"/>
      <c r="I579" s="1123"/>
    </row>
    <row r="580" spans="1:9" ht="17.850000000000001" customHeight="1" x14ac:dyDescent="0.45">
      <c r="A580" s="1951" t="s">
        <v>668</v>
      </c>
      <c r="B580" s="1952"/>
      <c r="C580" s="1088">
        <f ca="1">' K3 Regie1'!O21</f>
        <v>17</v>
      </c>
      <c r="D580" s="1089">
        <f ca="1">' K3 Regie1'!O23</f>
        <v>17</v>
      </c>
      <c r="E580" s="1088">
        <f ca="1">' K3 Regie1'!O28</f>
        <v>20.66</v>
      </c>
      <c r="F580" s="1078">
        <f ca="1">F581-E580</f>
        <v>23.76</v>
      </c>
      <c r="G580" s="1078">
        <f ca="1">SUM(' K3 Regie1'!O34,' K3 Regie1'!M39)</f>
        <v>8.24</v>
      </c>
      <c r="H580" s="1079">
        <f ca="1">SUM(' K3 Regie1'!M43,' K3 Regie1'!O43)</f>
        <v>13.59</v>
      </c>
      <c r="I580" s="1123"/>
    </row>
    <row r="581" spans="1:9" ht="17.850000000000001" customHeight="1" x14ac:dyDescent="0.45">
      <c r="A581" s="971" t="str">
        <f>' K3 Regie1'!B10</f>
        <v>Facharbeiter (&gt; 2Verwendungsjahr)</v>
      </c>
      <c r="B581" s="975"/>
      <c r="C581" s="1077"/>
      <c r="D581" s="207"/>
      <c r="E581" s="1077"/>
      <c r="F581" s="1090">
        <f ca="1">' K3 Regie1'!O33</f>
        <v>44.42</v>
      </c>
      <c r="G581" s="1090">
        <f ca="1">F581+G580</f>
        <v>52.66</v>
      </c>
      <c r="H581" s="1091">
        <f ca="1">G581+H580</f>
        <v>66.25</v>
      </c>
      <c r="I581" s="1123"/>
    </row>
    <row r="582" spans="1:9" ht="17.850000000000001" customHeight="1" thickBot="1" x14ac:dyDescent="0.5">
      <c r="A582" s="987" t="str">
        <f>' K3 Regie1'!K11</f>
        <v>Regiestunde</v>
      </c>
      <c r="B582" s="992"/>
      <c r="C582" s="1080" t="s">
        <v>71</v>
      </c>
      <c r="D582" s="1081">
        <f ca="1">D580/$C580-1</f>
        <v>0</v>
      </c>
      <c r="E582" s="1082">
        <f ca="1">E580/$C580-1</f>
        <v>0.21529999999999999</v>
      </c>
      <c r="F582" s="1081">
        <f ca="1">F581/$C580-1</f>
        <v>1.6129</v>
      </c>
      <c r="G582" s="1081">
        <f ca="1">G581/$C580-1</f>
        <v>2.0975999999999999</v>
      </c>
      <c r="H582" s="1083">
        <f ca="1">H581/$C580-1</f>
        <v>2.8971</v>
      </c>
      <c r="I582" s="1123"/>
    </row>
    <row r="583" spans="1:9" ht="17.850000000000001" customHeight="1" thickBot="1" x14ac:dyDescent="0.5">
      <c r="A583" s="66"/>
      <c r="B583" s="67"/>
      <c r="C583" s="67"/>
      <c r="D583" s="67"/>
      <c r="E583" s="67"/>
      <c r="F583" s="67"/>
      <c r="G583" s="67"/>
      <c r="H583" s="67"/>
      <c r="I583" s="1123"/>
    </row>
    <row r="584" spans="1:9" ht="17.850000000000001" customHeight="1" x14ac:dyDescent="0.45">
      <c r="A584" s="1953" t="s">
        <v>675</v>
      </c>
      <c r="B584" s="1954"/>
      <c r="C584" s="1109">
        <f ca="1">' K3 Regie2'!O21</f>
        <v>14</v>
      </c>
      <c r="D584" s="1110">
        <f ca="1">' K3 Regie2'!O23</f>
        <v>14</v>
      </c>
      <c r="E584" s="1109">
        <f ca="1">' K3 Regie2'!O28</f>
        <v>16.600000000000001</v>
      </c>
      <c r="F584" s="1078">
        <f ca="1">F585-E584</f>
        <v>19.28</v>
      </c>
      <c r="G584" s="1078">
        <f ca="1">SUM(' K3 Regie2'!O34,' K3 Regie2'!M39)</f>
        <v>6.66</v>
      </c>
      <c r="H584" s="1079">
        <f ca="1">SUM(' K3 Regie2'!M43,' K3 Regie2'!O43)</f>
        <v>10.98</v>
      </c>
      <c r="I584" s="1123"/>
    </row>
    <row r="585" spans="1:9" ht="17.850000000000001" customHeight="1" x14ac:dyDescent="0.45">
      <c r="A585" s="971" t="str">
        <f>' K3 Regie2'!B10</f>
        <v>Qualifizierter Helfer</v>
      </c>
      <c r="B585" s="975"/>
      <c r="C585" s="1077"/>
      <c r="D585" s="207"/>
      <c r="E585" s="1077"/>
      <c r="F585" s="1111">
        <f ca="1">' K3 Regie2'!O33</f>
        <v>35.880000000000003</v>
      </c>
      <c r="G585" s="1111">
        <f ca="1">F585+G584</f>
        <v>42.54</v>
      </c>
      <c r="H585" s="1112">
        <f ca="1">G585+H584</f>
        <v>53.52</v>
      </c>
      <c r="I585" s="1123"/>
    </row>
    <row r="586" spans="1:9" ht="17.850000000000001" customHeight="1" thickBot="1" x14ac:dyDescent="0.5">
      <c r="A586" s="987" t="str">
        <f>' K3 Regie2'!K11</f>
        <v>Regiestunde</v>
      </c>
      <c r="B586" s="992"/>
      <c r="C586" s="1080" t="s">
        <v>71</v>
      </c>
      <c r="D586" s="1081">
        <f ca="1">D584/$C584-1</f>
        <v>0</v>
      </c>
      <c r="E586" s="1082">
        <f ca="1">E584/$C584-1</f>
        <v>0.1857</v>
      </c>
      <c r="F586" s="1081">
        <f ca="1">F585/$C584-1</f>
        <v>1.5629</v>
      </c>
      <c r="G586" s="1081">
        <f ca="1">G585/$C584-1</f>
        <v>2.0386000000000002</v>
      </c>
      <c r="H586" s="1083">
        <f ca="1">H585/$C584-1</f>
        <v>2.8229000000000002</v>
      </c>
      <c r="I586" s="1123"/>
    </row>
    <row r="587" spans="1:9" ht="17.850000000000001" customHeight="1" thickBot="1" x14ac:dyDescent="0.5">
      <c r="A587" s="66"/>
      <c r="B587" s="67"/>
      <c r="C587" s="67"/>
      <c r="D587" s="67"/>
      <c r="E587" s="67"/>
      <c r="F587" s="67"/>
      <c r="G587" s="67"/>
      <c r="H587" s="67"/>
      <c r="I587" s="1123"/>
    </row>
    <row r="588" spans="1:9" ht="17.850000000000001" customHeight="1" x14ac:dyDescent="0.45">
      <c r="A588" s="1176" t="s">
        <v>674</v>
      </c>
      <c r="B588" s="1113"/>
      <c r="C588" s="1092" t="e">
        <f ca="1">' K3 Regie3'!O21</f>
        <v>#VALUE!</v>
      </c>
      <c r="D588" s="1093" t="e">
        <f ca="1">' K3 Regie3'!O23</f>
        <v>#VALUE!</v>
      </c>
      <c r="E588" s="1092" t="e">
        <f ca="1">' K3 Regie3'!O28</f>
        <v>#VALUE!</v>
      </c>
      <c r="F588" s="1078" t="e">
        <f ca="1">F589-E588</f>
        <v>#VALUE!</v>
      </c>
      <c r="G588" s="1078" t="e">
        <f ca="1">SUM(' K3 Regie3'!O34,' K3 Regie3'!M39)</f>
        <v>#VALUE!</v>
      </c>
      <c r="H588" s="1079" t="e">
        <f ca="1">SUM(' K3 Regie3'!M43,' K3 Regie3'!O43)</f>
        <v>#VALUE!</v>
      </c>
      <c r="I588" s="1123"/>
    </row>
    <row r="589" spans="1:9" ht="17.850000000000001" customHeight="1" x14ac:dyDescent="0.45">
      <c r="A589" s="971" t="str">
        <f>' K3 Regie3'!B10</f>
        <v>6. Hilfsarbeiter</v>
      </c>
      <c r="B589" s="975"/>
      <c r="C589" s="1077"/>
      <c r="D589" s="207"/>
      <c r="E589" s="1077"/>
      <c r="F589" s="1094" t="e">
        <f ca="1">' K3 Regie3'!O33</f>
        <v>#VALUE!</v>
      </c>
      <c r="G589" s="1094" t="e">
        <f ca="1">F589+G588</f>
        <v>#VALUE!</v>
      </c>
      <c r="H589" s="1095" t="e">
        <f ca="1">G589+H588</f>
        <v>#VALUE!</v>
      </c>
      <c r="I589" s="1123"/>
    </row>
    <row r="590" spans="1:9" ht="17.850000000000001" customHeight="1" thickBot="1" x14ac:dyDescent="0.5">
      <c r="A590" s="987" t="str">
        <f>' K3 Regie3'!K11</f>
        <v>Regiestunde</v>
      </c>
      <c r="B590" s="992"/>
      <c r="C590" s="1080" t="s">
        <v>71</v>
      </c>
      <c r="D590" s="1081" t="e">
        <f ca="1">D588/$C588-1</f>
        <v>#VALUE!</v>
      </c>
      <c r="E590" s="1082" t="e">
        <f ca="1">E588/$C588-1</f>
        <v>#VALUE!</v>
      </c>
      <c r="F590" s="1081" t="e">
        <f ca="1">F589/$C588-1</f>
        <v>#VALUE!</v>
      </c>
      <c r="G590" s="1081" t="e">
        <f ca="1">G589/$C588-1</f>
        <v>#VALUE!</v>
      </c>
      <c r="H590" s="1083" t="e">
        <f ca="1">H589/$C588-1</f>
        <v>#VALUE!</v>
      </c>
      <c r="I590" s="1123"/>
    </row>
    <row r="591" spans="1:9" ht="17.850000000000001" customHeight="1" thickBot="1" x14ac:dyDescent="0.5">
      <c r="A591" s="66"/>
      <c r="B591" s="67"/>
      <c r="C591" s="67"/>
      <c r="D591" s="67"/>
      <c r="E591" s="67"/>
      <c r="F591" s="67"/>
      <c r="G591" s="67"/>
      <c r="H591" s="67"/>
      <c r="I591" s="1123"/>
    </row>
    <row r="592" spans="1:9" ht="17.850000000000001" customHeight="1" x14ac:dyDescent="0.45">
      <c r="A592" s="1177" t="s">
        <v>676</v>
      </c>
      <c r="B592" s="1114"/>
      <c r="C592" s="1096" t="e">
        <f ca="1">' K3 Regie4'!O21</f>
        <v>#VALUE!</v>
      </c>
      <c r="D592" s="1097" t="e">
        <f ca="1">' K3 Regie4'!O23</f>
        <v>#VALUE!</v>
      </c>
      <c r="E592" s="1096" t="e">
        <f ca="1">' K3 Regie4'!O28</f>
        <v>#VALUE!</v>
      </c>
      <c r="F592" s="1078" t="e">
        <f ca="1">F593-E592</f>
        <v>#VALUE!</v>
      </c>
      <c r="G592" s="1078" t="e">
        <f ca="1">SUM(' K3 Regie4'!O34,' K3 Regie4'!M39)</f>
        <v>#VALUE!</v>
      </c>
      <c r="H592" s="1079" t="e">
        <f ca="1">SUM(' K3 Regie4'!M43,' K3 Regie4'!O43)</f>
        <v>#VALUE!</v>
      </c>
      <c r="I592" s="1123"/>
    </row>
    <row r="593" spans="1:9" ht="17.850000000000001" customHeight="1" x14ac:dyDescent="0.45">
      <c r="A593" s="181" t="str">
        <f>' K3 Regie4'!B10</f>
        <v>6. Hilfsarbeiter</v>
      </c>
      <c r="B593" s="361"/>
      <c r="C593" s="1077"/>
      <c r="D593" s="207"/>
      <c r="E593" s="1077"/>
      <c r="F593" s="1098" t="e">
        <f ca="1">' K3 Regie4'!O33</f>
        <v>#VALUE!</v>
      </c>
      <c r="G593" s="1098" t="e">
        <f ca="1">F593+G592</f>
        <v>#VALUE!</v>
      </c>
      <c r="H593" s="1099" t="e">
        <f ca="1">G593+H592</f>
        <v>#VALUE!</v>
      </c>
      <c r="I593" s="1123"/>
    </row>
    <row r="594" spans="1:9" ht="17.850000000000001" customHeight="1" thickBot="1" x14ac:dyDescent="0.5">
      <c r="A594" s="122" t="str">
        <f>' K3 Regie4'!K11</f>
        <v>Überstunde 50%</v>
      </c>
      <c r="B594" s="95"/>
      <c r="C594" s="1080" t="s">
        <v>71</v>
      </c>
      <c r="D594" s="1081" t="e">
        <f ca="1">D592/$C592-1</f>
        <v>#VALUE!</v>
      </c>
      <c r="E594" s="1082" t="e">
        <f ca="1">E592/$C592-1</f>
        <v>#VALUE!</v>
      </c>
      <c r="F594" s="1081" t="e">
        <f ca="1">F593/$C592-1</f>
        <v>#VALUE!</v>
      </c>
      <c r="G594" s="1081" t="e">
        <f ca="1">G593/$C592-1</f>
        <v>#VALUE!</v>
      </c>
      <c r="H594" s="1083" t="e">
        <f ca="1">H593/$C592-1</f>
        <v>#VALUE!</v>
      </c>
      <c r="I594" s="1123"/>
    </row>
    <row r="595" spans="1:9" ht="17.850000000000001" customHeight="1" thickBot="1" x14ac:dyDescent="0.5">
      <c r="A595" s="66"/>
      <c r="B595" s="67"/>
      <c r="C595" s="67"/>
      <c r="D595" s="67"/>
      <c r="E595" s="67"/>
      <c r="F595" s="67"/>
      <c r="G595" s="67"/>
      <c r="H595" s="67"/>
      <c r="I595" s="1123"/>
    </row>
    <row r="596" spans="1:9" ht="17.850000000000001" customHeight="1" x14ac:dyDescent="0.45">
      <c r="A596" s="1178" t="s">
        <v>677</v>
      </c>
      <c r="B596" s="1115"/>
      <c r="C596" s="1100" t="e">
        <f ca="1">' K3 Regiepartie1'!O21*2</f>
        <v>#VALUE!</v>
      </c>
      <c r="D596" s="1101" t="e">
        <f ca="1">' K3 Regiepartie1'!O23*2</f>
        <v>#VALUE!</v>
      </c>
      <c r="E596" s="1100" t="e">
        <f ca="1">' K3 Regiepartie1'!O28*2</f>
        <v>#VALUE!</v>
      </c>
      <c r="F596" s="1078" t="e">
        <f ca="1">F597-E596</f>
        <v>#VALUE!</v>
      </c>
      <c r="G596" s="1078" t="e">
        <f ca="1">SUM(' K3 Regiepartie1'!O34,' K3 Regiepartie1'!M39)*2</f>
        <v>#VALUE!</v>
      </c>
      <c r="H596" s="1079" t="e">
        <f ca="1">SUM(' K3 Regiepartie1'!M43,' K3 Regiepartie1'!O43)*2</f>
        <v>#VALUE!</v>
      </c>
      <c r="I596" s="1123"/>
    </row>
    <row r="597" spans="1:9" ht="17.850000000000001" customHeight="1" x14ac:dyDescent="0.45">
      <c r="A597" s="181" t="str">
        <f>' K3 Regiepartie1'!B10</f>
        <v>Regielpartie:</v>
      </c>
      <c r="B597" s="361"/>
      <c r="C597" s="1077"/>
      <c r="D597" s="207"/>
      <c r="E597" s="1077"/>
      <c r="F597" s="1102" t="e">
        <f ca="1">' K3 Regiepartie1'!O33*2</f>
        <v>#VALUE!</v>
      </c>
      <c r="G597" s="1102" t="e">
        <f ca="1">F597+G596</f>
        <v>#VALUE!</v>
      </c>
      <c r="H597" s="1103" t="e">
        <f ca="1">G597+H596</f>
        <v>#VALUE!</v>
      </c>
      <c r="I597" s="1123"/>
    </row>
    <row r="598" spans="1:9" ht="17.850000000000001" customHeight="1" thickBot="1" x14ac:dyDescent="0.5">
      <c r="A598" s="122" t="str">
        <f>' K3 Regiepartie1'!K11</f>
        <v>Regiestunde</v>
      </c>
      <c r="B598" s="95"/>
      <c r="C598" s="1080" t="s">
        <v>71</v>
      </c>
      <c r="D598" s="1081" t="e">
        <f ca="1">D596/$C596-1</f>
        <v>#VALUE!</v>
      </c>
      <c r="E598" s="1082" t="e">
        <f ca="1">E596/$C596-1</f>
        <v>#VALUE!</v>
      </c>
      <c r="F598" s="1081" t="e">
        <f ca="1">F597/$C596-1</f>
        <v>#VALUE!</v>
      </c>
      <c r="G598" s="1081" t="e">
        <f ca="1">G597/$C596-1</f>
        <v>#VALUE!</v>
      </c>
      <c r="H598" s="1083" t="e">
        <f ca="1">H597/$C596-1</f>
        <v>#VALUE!</v>
      </c>
      <c r="I598" s="1123"/>
    </row>
    <row r="599" spans="1:9" ht="17.850000000000001" customHeight="1" x14ac:dyDescent="0.45">
      <c r="A599" s="1179"/>
      <c r="B599" s="779"/>
      <c r="C599" s="779"/>
      <c r="D599" s="779"/>
      <c r="E599" s="779"/>
      <c r="F599" s="779"/>
      <c r="G599" s="779"/>
      <c r="H599" s="779"/>
      <c r="I599" s="1124"/>
    </row>
  </sheetData>
  <sheetProtection password="B984" sheet="1" objects="1" scenarios="1" formatColumns="0" selectLockedCells="1"/>
  <mergeCells count="725">
    <mergeCell ref="A576:B576"/>
    <mergeCell ref="A580:B580"/>
    <mergeCell ref="A584:B584"/>
    <mergeCell ref="G565:H565"/>
    <mergeCell ref="J259:L262"/>
    <mergeCell ref="J333:L334"/>
    <mergeCell ref="J497:L498"/>
    <mergeCell ref="J444:L445"/>
    <mergeCell ref="J386:L387"/>
    <mergeCell ref="D566:E566"/>
    <mergeCell ref="D567:E567"/>
    <mergeCell ref="D568:E568"/>
    <mergeCell ref="D569:E569"/>
    <mergeCell ref="D570:E570"/>
    <mergeCell ref="D571:E571"/>
    <mergeCell ref="A387:E387"/>
    <mergeCell ref="A426:D426"/>
    <mergeCell ref="B427:D427"/>
    <mergeCell ref="A428:D428"/>
    <mergeCell ref="J316:K316"/>
    <mergeCell ref="A317:D317"/>
    <mergeCell ref="J369:K369"/>
    <mergeCell ref="J487:K487"/>
    <mergeCell ref="L457:L458"/>
    <mergeCell ref="A272:E272"/>
    <mergeCell ref="E77:F77"/>
    <mergeCell ref="A247:E247"/>
    <mergeCell ref="A248:E248"/>
    <mergeCell ref="A260:E260"/>
    <mergeCell ref="A116:F116"/>
    <mergeCell ref="A99:H99"/>
    <mergeCell ref="A95:G95"/>
    <mergeCell ref="E100:E102"/>
    <mergeCell ref="F100:F102"/>
    <mergeCell ref="A261:E261"/>
    <mergeCell ref="C243:E243"/>
    <mergeCell ref="A128:B128"/>
    <mergeCell ref="A225:D225"/>
    <mergeCell ref="A170:B170"/>
    <mergeCell ref="F171:G171"/>
    <mergeCell ref="A175:H175"/>
    <mergeCell ref="A185:F185"/>
    <mergeCell ref="F190:G190"/>
    <mergeCell ref="A169:B169"/>
    <mergeCell ref="A195:C195"/>
    <mergeCell ref="A206:C206"/>
    <mergeCell ref="A84:D84"/>
    <mergeCell ref="A90:E90"/>
    <mergeCell ref="L460:L461"/>
    <mergeCell ref="J463:K463"/>
    <mergeCell ref="A386:D386"/>
    <mergeCell ref="C393:E393"/>
    <mergeCell ref="A405:D405"/>
    <mergeCell ref="A401:C402"/>
    <mergeCell ref="A456:D456"/>
    <mergeCell ref="H421:H423"/>
    <mergeCell ref="A425:D425"/>
    <mergeCell ref="D401:H402"/>
    <mergeCell ref="A403:D403"/>
    <mergeCell ref="A404:C404"/>
    <mergeCell ref="J404:K405"/>
    <mergeCell ref="A406:H406"/>
    <mergeCell ref="A407:C407"/>
    <mergeCell ref="A410:G410"/>
    <mergeCell ref="E416:F416"/>
    <mergeCell ref="E417:F417"/>
    <mergeCell ref="A453:H453"/>
    <mergeCell ref="A454:C455"/>
    <mergeCell ref="D454:H455"/>
    <mergeCell ref="L404:L405"/>
    <mergeCell ref="J407:K408"/>
    <mergeCell ref="A421:D423"/>
    <mergeCell ref="J1:L4"/>
    <mergeCell ref="B2:C2"/>
    <mergeCell ref="G264:H264"/>
    <mergeCell ref="B3:C3"/>
    <mergeCell ref="B4:C4"/>
    <mergeCell ref="D2:E2"/>
    <mergeCell ref="D3:E3"/>
    <mergeCell ref="D4:E4"/>
    <mergeCell ref="C340:E340"/>
    <mergeCell ref="G273:H277"/>
    <mergeCell ref="A182:E182"/>
    <mergeCell ref="A245:C245"/>
    <mergeCell ref="A273:C273"/>
    <mergeCell ref="E107:E109"/>
    <mergeCell ref="A91:D91"/>
    <mergeCell ref="A77:B80"/>
    <mergeCell ref="G72:G73"/>
    <mergeCell ref="D77:D79"/>
    <mergeCell ref="J318:K318"/>
    <mergeCell ref="J319:K319"/>
    <mergeCell ref="J322:K322"/>
    <mergeCell ref="A289:H289"/>
    <mergeCell ref="G310:G312"/>
    <mergeCell ref="F310:F312"/>
    <mergeCell ref="J483:K483"/>
    <mergeCell ref="J486:K486"/>
    <mergeCell ref="J410:K410"/>
    <mergeCell ref="J426:K426"/>
    <mergeCell ref="J427:K427"/>
    <mergeCell ref="J429:K429"/>
    <mergeCell ref="J430:K430"/>
    <mergeCell ref="J433:K433"/>
    <mergeCell ref="J434:K434"/>
    <mergeCell ref="J457:K458"/>
    <mergeCell ref="J482:K482"/>
    <mergeCell ref="J480:K480"/>
    <mergeCell ref="J479:K479"/>
    <mergeCell ref="J460:K461"/>
    <mergeCell ref="L349:L350"/>
    <mergeCell ref="L346:L347"/>
    <mergeCell ref="L407:L408"/>
    <mergeCell ref="J376:K376"/>
    <mergeCell ref="J371:K371"/>
    <mergeCell ref="J372:K372"/>
    <mergeCell ref="B369:D369"/>
    <mergeCell ref="E359:F359"/>
    <mergeCell ref="A352:G352"/>
    <mergeCell ref="A349:C349"/>
    <mergeCell ref="A367:D367"/>
    <mergeCell ref="F363:F365"/>
    <mergeCell ref="A376:D376"/>
    <mergeCell ref="A371:D371"/>
    <mergeCell ref="J352:K352"/>
    <mergeCell ref="A395:I395"/>
    <mergeCell ref="E363:E365"/>
    <mergeCell ref="A362:H362"/>
    <mergeCell ref="A400:H400"/>
    <mergeCell ref="J368:K368"/>
    <mergeCell ref="J375:K375"/>
    <mergeCell ref="A366:D366"/>
    <mergeCell ref="D361:G361"/>
    <mergeCell ref="A353:D353"/>
    <mergeCell ref="J349:K350"/>
    <mergeCell ref="J323:K323"/>
    <mergeCell ref="B324:D324"/>
    <mergeCell ref="A333:D333"/>
    <mergeCell ref="A347:D347"/>
    <mergeCell ref="A326:D326"/>
    <mergeCell ref="A342:H342"/>
    <mergeCell ref="A343:C344"/>
    <mergeCell ref="D343:H344"/>
    <mergeCell ref="A338:H338"/>
    <mergeCell ref="A336:E336"/>
    <mergeCell ref="A327:D327"/>
    <mergeCell ref="A345:D345"/>
    <mergeCell ref="A346:C346"/>
    <mergeCell ref="A334:E334"/>
    <mergeCell ref="J346:K347"/>
    <mergeCell ref="A339:D339"/>
    <mergeCell ref="F339:G339"/>
    <mergeCell ref="A322:D322"/>
    <mergeCell ref="A337:G337"/>
    <mergeCell ref="A284:I288"/>
    <mergeCell ref="J293:K294"/>
    <mergeCell ref="J296:K297"/>
    <mergeCell ref="D290:H291"/>
    <mergeCell ref="A280:I280"/>
    <mergeCell ref="A281:I283"/>
    <mergeCell ref="A259:E259"/>
    <mergeCell ref="A300:D300"/>
    <mergeCell ref="G271:H271"/>
    <mergeCell ref="A292:D292"/>
    <mergeCell ref="A279:I279"/>
    <mergeCell ref="E266:F266"/>
    <mergeCell ref="A263:H263"/>
    <mergeCell ref="A290:C291"/>
    <mergeCell ref="A293:C293"/>
    <mergeCell ref="A265:D265"/>
    <mergeCell ref="E265:F265"/>
    <mergeCell ref="G272:H272"/>
    <mergeCell ref="A335:E335"/>
    <mergeCell ref="A328:D328"/>
    <mergeCell ref="A329:D329"/>
    <mergeCell ref="A330:D330"/>
    <mergeCell ref="L293:L294"/>
    <mergeCell ref="A310:D312"/>
    <mergeCell ref="E305:F305"/>
    <mergeCell ref="E306:F306"/>
    <mergeCell ref="E310:E312"/>
    <mergeCell ref="J299:K299"/>
    <mergeCell ref="A299:G299"/>
    <mergeCell ref="A295:H295"/>
    <mergeCell ref="L296:L297"/>
    <mergeCell ref="A309:H309"/>
    <mergeCell ref="A296:C296"/>
    <mergeCell ref="H310:H312"/>
    <mergeCell ref="A294:D294"/>
    <mergeCell ref="D308:G308"/>
    <mergeCell ref="A319:D319"/>
    <mergeCell ref="B320:D320"/>
    <mergeCell ref="A331:D331"/>
    <mergeCell ref="A83:B83"/>
    <mergeCell ref="D89:E89"/>
    <mergeCell ref="A89:C89"/>
    <mergeCell ref="G86:G87"/>
    <mergeCell ref="G165:G167"/>
    <mergeCell ref="A129:B129"/>
    <mergeCell ref="A135:C135"/>
    <mergeCell ref="A132:F132"/>
    <mergeCell ref="C133:F133"/>
    <mergeCell ref="A147:D147"/>
    <mergeCell ref="A145:D145"/>
    <mergeCell ref="A146:D146"/>
    <mergeCell ref="A141:H141"/>
    <mergeCell ref="A136:D136"/>
    <mergeCell ref="A137:F137"/>
    <mergeCell ref="A130:B130"/>
    <mergeCell ref="A131:B131"/>
    <mergeCell ref="A143:D143"/>
    <mergeCell ref="A85:E85"/>
    <mergeCell ref="A168:B168"/>
    <mergeCell ref="A194:C194"/>
    <mergeCell ref="J188:K188"/>
    <mergeCell ref="J169:K169"/>
    <mergeCell ref="A188:E188"/>
    <mergeCell ref="F184:G184"/>
    <mergeCell ref="A184:B184"/>
    <mergeCell ref="A111:C111"/>
    <mergeCell ref="D100:D102"/>
    <mergeCell ref="D159:D161"/>
    <mergeCell ref="A113:C113"/>
    <mergeCell ref="A121:C121"/>
    <mergeCell ref="A125:F125"/>
    <mergeCell ref="D117:D119"/>
    <mergeCell ref="E117:E119"/>
    <mergeCell ref="A122:C122"/>
    <mergeCell ref="A123:C123"/>
    <mergeCell ref="A133:B133"/>
    <mergeCell ref="A134:D134"/>
    <mergeCell ref="A115:C115"/>
    <mergeCell ref="F165:F167"/>
    <mergeCell ref="A103:C103"/>
    <mergeCell ref="G100:H100"/>
    <mergeCell ref="G101:G102"/>
    <mergeCell ref="H101:H102"/>
    <mergeCell ref="A100:C102"/>
    <mergeCell ref="A47:H47"/>
    <mergeCell ref="F48:F49"/>
    <mergeCell ref="G48:G49"/>
    <mergeCell ref="H48:H49"/>
    <mergeCell ref="F60:F61"/>
    <mergeCell ref="A35:C35"/>
    <mergeCell ref="A54:F54"/>
    <mergeCell ref="H72:H73"/>
    <mergeCell ref="A70:D70"/>
    <mergeCell ref="A63:B63"/>
    <mergeCell ref="A68:B68"/>
    <mergeCell ref="A23:C23"/>
    <mergeCell ref="A24:C24"/>
    <mergeCell ref="A25:C25"/>
    <mergeCell ref="A26:C26"/>
    <mergeCell ref="A44:H44"/>
    <mergeCell ref="A36:C36"/>
    <mergeCell ref="A38:G38"/>
    <mergeCell ref="A40:H40"/>
    <mergeCell ref="A31:C31"/>
    <mergeCell ref="A37:D37"/>
    <mergeCell ref="J30:K30"/>
    <mergeCell ref="J31:K31"/>
    <mergeCell ref="G59:H59"/>
    <mergeCell ref="G77:H77"/>
    <mergeCell ref="H78:H79"/>
    <mergeCell ref="A71:E71"/>
    <mergeCell ref="A59:B62"/>
    <mergeCell ref="A66:B66"/>
    <mergeCell ref="A33:H33"/>
    <mergeCell ref="A52:B52"/>
    <mergeCell ref="A57:H57"/>
    <mergeCell ref="C53:F53"/>
    <mergeCell ref="A34:D34"/>
    <mergeCell ref="A41:D42"/>
    <mergeCell ref="E41:E42"/>
    <mergeCell ref="F41:F42"/>
    <mergeCell ref="H41:H42"/>
    <mergeCell ref="G41:G42"/>
    <mergeCell ref="A43:D43"/>
    <mergeCell ref="G78:G79"/>
    <mergeCell ref="E59:F59"/>
    <mergeCell ref="A45:D45"/>
    <mergeCell ref="C59:C61"/>
    <mergeCell ref="D59:D61"/>
    <mergeCell ref="E78:E79"/>
    <mergeCell ref="D73:E73"/>
    <mergeCell ref="A64:B64"/>
    <mergeCell ref="A65:B65"/>
    <mergeCell ref="J82:K82"/>
    <mergeCell ref="A69:B69"/>
    <mergeCell ref="C77:C79"/>
    <mergeCell ref="D72:E72"/>
    <mergeCell ref="G60:G61"/>
    <mergeCell ref="H60:H61"/>
    <mergeCell ref="J83:K83"/>
    <mergeCell ref="J32:L34"/>
    <mergeCell ref="J38:K38"/>
    <mergeCell ref="J35:K35"/>
    <mergeCell ref="J110:K110"/>
    <mergeCell ref="J111:K111"/>
    <mergeCell ref="J81:K81"/>
    <mergeCell ref="J103:K103"/>
    <mergeCell ref="J85:K85"/>
    <mergeCell ref="J91:K91"/>
    <mergeCell ref="J71:K71"/>
    <mergeCell ref="J63:K63"/>
    <mergeCell ref="J64:K64"/>
    <mergeCell ref="J65:K65"/>
    <mergeCell ref="J66:K66"/>
    <mergeCell ref="J67:K67"/>
    <mergeCell ref="J68:K68"/>
    <mergeCell ref="J69:K69"/>
    <mergeCell ref="J36:K36"/>
    <mergeCell ref="L85:L87"/>
    <mergeCell ref="J104:K104"/>
    <mergeCell ref="J5:K16"/>
    <mergeCell ref="J18:K19"/>
    <mergeCell ref="J23:K23"/>
    <mergeCell ref="J24:K24"/>
    <mergeCell ref="J25:K25"/>
    <mergeCell ref="J26:K26"/>
    <mergeCell ref="J27:K27"/>
    <mergeCell ref="J28:K28"/>
    <mergeCell ref="J29:K29"/>
    <mergeCell ref="J20:L22"/>
    <mergeCell ref="L5:L16"/>
    <mergeCell ref="J113:K113"/>
    <mergeCell ref="J114:K114"/>
    <mergeCell ref="J124:K124"/>
    <mergeCell ref="A104:C104"/>
    <mergeCell ref="A105:C105"/>
    <mergeCell ref="A112:C112"/>
    <mergeCell ref="J115:K115"/>
    <mergeCell ref="J120:K120"/>
    <mergeCell ref="J121:K121"/>
    <mergeCell ref="J122:K122"/>
    <mergeCell ref="J123:K123"/>
    <mergeCell ref="H118:H119"/>
    <mergeCell ref="G117:H117"/>
    <mergeCell ref="J105:K105"/>
    <mergeCell ref="G118:G119"/>
    <mergeCell ref="A120:C120"/>
    <mergeCell ref="A117:C119"/>
    <mergeCell ref="A124:C124"/>
    <mergeCell ref="J112:K112"/>
    <mergeCell ref="A110:C110"/>
    <mergeCell ref="A114:C114"/>
    <mergeCell ref="F117:F119"/>
    <mergeCell ref="A107:C109"/>
    <mergeCell ref="A106:F106"/>
    <mergeCell ref="J183:K183"/>
    <mergeCell ref="J186:K186"/>
    <mergeCell ref="H148:H150"/>
    <mergeCell ref="A165:B167"/>
    <mergeCell ref="D165:D167"/>
    <mergeCell ref="A164:B164"/>
    <mergeCell ref="C159:C161"/>
    <mergeCell ref="D148:D150"/>
    <mergeCell ref="E148:E151"/>
    <mergeCell ref="G148:G150"/>
    <mergeCell ref="A153:B153"/>
    <mergeCell ref="A158:B158"/>
    <mergeCell ref="A148:B150"/>
    <mergeCell ref="C148:C150"/>
    <mergeCell ref="F148:F150"/>
    <mergeCell ref="A151:B151"/>
    <mergeCell ref="A152:C152"/>
    <mergeCell ref="J153:K153"/>
    <mergeCell ref="J154:K154"/>
    <mergeCell ref="J155:K155"/>
    <mergeCell ref="J156:K156"/>
    <mergeCell ref="J157:K157"/>
    <mergeCell ref="J162:K162"/>
    <mergeCell ref="J163:K163"/>
    <mergeCell ref="J164:K164"/>
    <mergeCell ref="A163:B163"/>
    <mergeCell ref="F159:F161"/>
    <mergeCell ref="A157:B157"/>
    <mergeCell ref="A155:B155"/>
    <mergeCell ref="A154:B154"/>
    <mergeCell ref="A156:B156"/>
    <mergeCell ref="A159:B161"/>
    <mergeCell ref="A162:B162"/>
    <mergeCell ref="D158:G158"/>
    <mergeCell ref="G159:G161"/>
    <mergeCell ref="E159:E161"/>
    <mergeCell ref="J168:K168"/>
    <mergeCell ref="H165:H167"/>
    <mergeCell ref="C165:C167"/>
    <mergeCell ref="J216:L217"/>
    <mergeCell ref="J227:L228"/>
    <mergeCell ref="A226:D226"/>
    <mergeCell ref="A219:D219"/>
    <mergeCell ref="J198:K199"/>
    <mergeCell ref="A199:H199"/>
    <mergeCell ref="J170:K170"/>
    <mergeCell ref="A201:E201"/>
    <mergeCell ref="A178:G178"/>
    <mergeCell ref="A179:G179"/>
    <mergeCell ref="D203:E203"/>
    <mergeCell ref="A203:C203"/>
    <mergeCell ref="A202:E202"/>
    <mergeCell ref="J185:K185"/>
    <mergeCell ref="A176:H176"/>
    <mergeCell ref="A197:G197"/>
    <mergeCell ref="A187:B187"/>
    <mergeCell ref="A189:B189"/>
    <mergeCell ref="A172:B172"/>
    <mergeCell ref="D172:F172"/>
    <mergeCell ref="A218:D218"/>
    <mergeCell ref="A217:E217"/>
    <mergeCell ref="A215:D215"/>
    <mergeCell ref="E215:F215"/>
    <mergeCell ref="A216:E216"/>
    <mergeCell ref="A214:H214"/>
    <mergeCell ref="A205:D205"/>
    <mergeCell ref="A213:H213"/>
    <mergeCell ref="G216:H217"/>
    <mergeCell ref="A204:D204"/>
    <mergeCell ref="A200:E200"/>
    <mergeCell ref="A208:C208"/>
    <mergeCell ref="A210:E210"/>
    <mergeCell ref="A171:E171"/>
    <mergeCell ref="A177:G177"/>
    <mergeCell ref="A196:C196"/>
    <mergeCell ref="A181:H181"/>
    <mergeCell ref="A183:F183"/>
    <mergeCell ref="A192:C192"/>
    <mergeCell ref="A193:C193"/>
    <mergeCell ref="A186:F186"/>
    <mergeCell ref="A198:E198"/>
    <mergeCell ref="A142:H142"/>
    <mergeCell ref="A144:D144"/>
    <mergeCell ref="A7:C9"/>
    <mergeCell ref="A12:C13"/>
    <mergeCell ref="G21:G22"/>
    <mergeCell ref="H21:H22"/>
    <mergeCell ref="F17:H17"/>
    <mergeCell ref="A16:E16"/>
    <mergeCell ref="F16:G16"/>
    <mergeCell ref="A21:C21"/>
    <mergeCell ref="E21:E22"/>
    <mergeCell ref="F21:F22"/>
    <mergeCell ref="A55:G55"/>
    <mergeCell ref="A138:F138"/>
    <mergeCell ref="A139:F139"/>
    <mergeCell ref="A58:H58"/>
    <mergeCell ref="A86:C87"/>
    <mergeCell ref="A98:H98"/>
    <mergeCell ref="A81:B81"/>
    <mergeCell ref="A82:B82"/>
    <mergeCell ref="A92:E92"/>
    <mergeCell ref="D86:E86"/>
    <mergeCell ref="D87:E87"/>
    <mergeCell ref="F78:F79"/>
    <mergeCell ref="D5:G5"/>
    <mergeCell ref="D10:G11"/>
    <mergeCell ref="D12:G13"/>
    <mergeCell ref="A20:H20"/>
    <mergeCell ref="D14:E14"/>
    <mergeCell ref="B15:C15"/>
    <mergeCell ref="B14:C14"/>
    <mergeCell ref="F14:G14"/>
    <mergeCell ref="A6:I6"/>
    <mergeCell ref="A18:B19"/>
    <mergeCell ref="A17:B17"/>
    <mergeCell ref="C17:D17"/>
    <mergeCell ref="A10:C11"/>
    <mergeCell ref="A1:I1"/>
    <mergeCell ref="D7:G7"/>
    <mergeCell ref="D8:G8"/>
    <mergeCell ref="D9:G9"/>
    <mergeCell ref="H7:I9"/>
    <mergeCell ref="D107:D109"/>
    <mergeCell ref="H108:H109"/>
    <mergeCell ref="C126:C129"/>
    <mergeCell ref="E126:F128"/>
    <mergeCell ref="D126:D129"/>
    <mergeCell ref="G107:H107"/>
    <mergeCell ref="F107:F109"/>
    <mergeCell ref="G108:G109"/>
    <mergeCell ref="A67:B67"/>
    <mergeCell ref="H86:H87"/>
    <mergeCell ref="A32:D32"/>
    <mergeCell ref="A27:C27"/>
    <mergeCell ref="A28:C28"/>
    <mergeCell ref="A29:C29"/>
    <mergeCell ref="A30:C30"/>
    <mergeCell ref="E60:E61"/>
    <mergeCell ref="H126:H128"/>
    <mergeCell ref="A126:B127"/>
    <mergeCell ref="H5:I5"/>
    <mergeCell ref="A220:D220"/>
    <mergeCell ref="A221:D221"/>
    <mergeCell ref="A229:D229"/>
    <mergeCell ref="A223:D223"/>
    <mergeCell ref="A224:D224"/>
    <mergeCell ref="J315:K315"/>
    <mergeCell ref="A315:D315"/>
    <mergeCell ref="G219:H219"/>
    <mergeCell ref="G225:H225"/>
    <mergeCell ref="B234:D234"/>
    <mergeCell ref="B235:D235"/>
    <mergeCell ref="B236:D236"/>
    <mergeCell ref="B237:D237"/>
    <mergeCell ref="G229:H229"/>
    <mergeCell ref="G235:H237"/>
    <mergeCell ref="G233:H233"/>
    <mergeCell ref="A232:D232"/>
    <mergeCell ref="A233:D233"/>
    <mergeCell ref="A314:D314"/>
    <mergeCell ref="A313:D313"/>
    <mergeCell ref="A230:D230"/>
    <mergeCell ref="A231:D231"/>
    <mergeCell ref="A222:D222"/>
    <mergeCell ref="A227:E227"/>
    <mergeCell ref="A388:E388"/>
    <mergeCell ref="A390:G390"/>
    <mergeCell ref="A391:H391"/>
    <mergeCell ref="A323:D323"/>
    <mergeCell ref="A368:D368"/>
    <mergeCell ref="A379:D379"/>
    <mergeCell ref="A380:D380"/>
    <mergeCell ref="A381:D381"/>
    <mergeCell ref="A375:D375"/>
    <mergeCell ref="B377:D377"/>
    <mergeCell ref="A384:D384"/>
    <mergeCell ref="A385:H385"/>
    <mergeCell ref="A348:H348"/>
    <mergeCell ref="H363:H365"/>
    <mergeCell ref="A389:E389"/>
    <mergeCell ref="A374:D374"/>
    <mergeCell ref="E358:F358"/>
    <mergeCell ref="A370:D370"/>
    <mergeCell ref="A244:C244"/>
    <mergeCell ref="A243:B243"/>
    <mergeCell ref="A321:D321"/>
    <mergeCell ref="A363:D365"/>
    <mergeCell ref="A396:I398"/>
    <mergeCell ref="G227:H228"/>
    <mergeCell ref="A228:E228"/>
    <mergeCell ref="A238:E238"/>
    <mergeCell ref="D244:E244"/>
    <mergeCell ref="A246:E246"/>
    <mergeCell ref="A257:H257"/>
    <mergeCell ref="B316:D316"/>
    <mergeCell ref="A372:D372"/>
    <mergeCell ref="B373:D373"/>
    <mergeCell ref="A240:H240"/>
    <mergeCell ref="A249:E249"/>
    <mergeCell ref="D245:E245"/>
    <mergeCell ref="A241:H241"/>
    <mergeCell ref="A242:E242"/>
    <mergeCell ref="E267:F267"/>
    <mergeCell ref="A262:E262"/>
    <mergeCell ref="A318:D318"/>
    <mergeCell ref="A382:D382"/>
    <mergeCell ref="A383:D383"/>
    <mergeCell ref="A494:D494"/>
    <mergeCell ref="A479:D479"/>
    <mergeCell ref="A483:D483"/>
    <mergeCell ref="B484:D484"/>
    <mergeCell ref="A457:C457"/>
    <mergeCell ref="A448:G448"/>
    <mergeCell ref="A449:H449"/>
    <mergeCell ref="A450:D450"/>
    <mergeCell ref="F450:G450"/>
    <mergeCell ref="C451:E451"/>
    <mergeCell ref="G452:I452"/>
    <mergeCell ref="A477:D477"/>
    <mergeCell ref="A478:D478"/>
    <mergeCell ref="A443:H443"/>
    <mergeCell ref="A473:H473"/>
    <mergeCell ref="A474:D476"/>
    <mergeCell ref="E474:E476"/>
    <mergeCell ref="A482:D482"/>
    <mergeCell ref="G474:G476"/>
    <mergeCell ref="H474:H476"/>
    <mergeCell ref="A491:D491"/>
    <mergeCell ref="A492:D492"/>
    <mergeCell ref="A498:E498"/>
    <mergeCell ref="A499:E499"/>
    <mergeCell ref="A500:E500"/>
    <mergeCell ref="A501:G501"/>
    <mergeCell ref="C504:E504"/>
    <mergeCell ref="A513:C513"/>
    <mergeCell ref="A541:D541"/>
    <mergeCell ref="E421:E423"/>
    <mergeCell ref="F421:F423"/>
    <mergeCell ref="G421:G423"/>
    <mergeCell ref="B431:D431"/>
    <mergeCell ref="A432:D432"/>
    <mergeCell ref="E469:F469"/>
    <mergeCell ref="E470:F470"/>
    <mergeCell ref="A490:D490"/>
    <mergeCell ref="A433:D433"/>
    <mergeCell ref="A434:D434"/>
    <mergeCell ref="B435:D435"/>
    <mergeCell ref="A437:D437"/>
    <mergeCell ref="A438:D438"/>
    <mergeCell ref="A439:D439"/>
    <mergeCell ref="A440:D440"/>
    <mergeCell ref="A441:D441"/>
    <mergeCell ref="A442:D442"/>
    <mergeCell ref="J553:K554"/>
    <mergeCell ref="A554:E554"/>
    <mergeCell ref="A555:E555"/>
    <mergeCell ref="A557:G557"/>
    <mergeCell ref="A543:D543"/>
    <mergeCell ref="J543:K543"/>
    <mergeCell ref="J542:K542"/>
    <mergeCell ref="J535:K535"/>
    <mergeCell ref="J536:K536"/>
    <mergeCell ref="J538:K538"/>
    <mergeCell ref="J539:K539"/>
    <mergeCell ref="A550:D550"/>
    <mergeCell ref="A551:D551"/>
    <mergeCell ref="A539:D539"/>
    <mergeCell ref="G560:H560"/>
    <mergeCell ref="A535:D535"/>
    <mergeCell ref="A537:D537"/>
    <mergeCell ref="B544:D544"/>
    <mergeCell ref="A546:D546"/>
    <mergeCell ref="B536:D536"/>
    <mergeCell ref="A538:D538"/>
    <mergeCell ref="A520:D520"/>
    <mergeCell ref="A411:D411"/>
    <mergeCell ref="A424:D424"/>
    <mergeCell ref="D419:G419"/>
    <mergeCell ref="A420:H420"/>
    <mergeCell ref="E525:F525"/>
    <mergeCell ref="E526:F526"/>
    <mergeCell ref="A509:D509"/>
    <mergeCell ref="A510:C510"/>
    <mergeCell ref="A515:H515"/>
    <mergeCell ref="G505:I505"/>
    <mergeCell ref="A514:D514"/>
    <mergeCell ref="A512:C512"/>
    <mergeCell ref="A511:C511"/>
    <mergeCell ref="A529:H529"/>
    <mergeCell ref="A533:D533"/>
    <mergeCell ref="A534:D534"/>
    <mergeCell ref="A530:D532"/>
    <mergeCell ref="E530:E532"/>
    <mergeCell ref="F530:F532"/>
    <mergeCell ref="G530:G532"/>
    <mergeCell ref="H530:H532"/>
    <mergeCell ref="A516:C516"/>
    <mergeCell ref="A556:E556"/>
    <mergeCell ref="A558:H558"/>
    <mergeCell ref="A559:D559"/>
    <mergeCell ref="F559:G559"/>
    <mergeCell ref="A548:D548"/>
    <mergeCell ref="A549:D549"/>
    <mergeCell ref="L318:L319"/>
    <mergeCell ref="L322:L323"/>
    <mergeCell ref="J510:K510"/>
    <mergeCell ref="J511:K511"/>
    <mergeCell ref="J512:K512"/>
    <mergeCell ref="J513:K513"/>
    <mergeCell ref="D528:F528"/>
    <mergeCell ref="G528:H528"/>
    <mergeCell ref="L516:L517"/>
    <mergeCell ref="J516:K517"/>
    <mergeCell ref="A497:D497"/>
    <mergeCell ref="A496:H496"/>
    <mergeCell ref="A481:D481"/>
    <mergeCell ref="A485:D485"/>
    <mergeCell ref="A486:D486"/>
    <mergeCell ref="A487:D487"/>
    <mergeCell ref="B488:D488"/>
    <mergeCell ref="D472:G472"/>
    <mergeCell ref="B480:D480"/>
    <mergeCell ref="A493:D493"/>
    <mergeCell ref="A495:D495"/>
    <mergeCell ref="F474:F476"/>
    <mergeCell ref="A519:G519"/>
    <mergeCell ref="J519:K519"/>
    <mergeCell ref="A561:F561"/>
    <mergeCell ref="A505:F505"/>
    <mergeCell ref="A452:F452"/>
    <mergeCell ref="A269:H269"/>
    <mergeCell ref="A2:A4"/>
    <mergeCell ref="A270:F270"/>
    <mergeCell ref="G270:H270"/>
    <mergeCell ref="G278:H278"/>
    <mergeCell ref="G341:I341"/>
    <mergeCell ref="A341:F341"/>
    <mergeCell ref="G394:I394"/>
    <mergeCell ref="A394:F394"/>
    <mergeCell ref="H4:I4"/>
    <mergeCell ref="A553:D553"/>
    <mergeCell ref="A444:D444"/>
    <mergeCell ref="A445:E445"/>
    <mergeCell ref="A446:E446"/>
    <mergeCell ref="A447:E447"/>
    <mergeCell ref="B540:D540"/>
    <mergeCell ref="A542:D542"/>
    <mergeCell ref="D560:F560"/>
    <mergeCell ref="A506:H506"/>
    <mergeCell ref="A507:C508"/>
    <mergeCell ref="D507:H508"/>
    <mergeCell ref="D573:D575"/>
    <mergeCell ref="E573:E575"/>
    <mergeCell ref="C573:C575"/>
    <mergeCell ref="F573:F575"/>
    <mergeCell ref="G573:G575"/>
    <mergeCell ref="H573:H575"/>
    <mergeCell ref="A564:E564"/>
    <mergeCell ref="G561:I561"/>
    <mergeCell ref="A76:F76"/>
    <mergeCell ref="A502:H502"/>
    <mergeCell ref="A503:D503"/>
    <mergeCell ref="F503:G503"/>
    <mergeCell ref="A458:D458"/>
    <mergeCell ref="A459:H459"/>
    <mergeCell ref="A460:C460"/>
    <mergeCell ref="A463:G463"/>
    <mergeCell ref="A464:D464"/>
    <mergeCell ref="A547:D547"/>
    <mergeCell ref="A552:H552"/>
    <mergeCell ref="A429:D429"/>
    <mergeCell ref="A430:D430"/>
    <mergeCell ref="A392:D392"/>
    <mergeCell ref="F392:G392"/>
    <mergeCell ref="G363:G365"/>
  </mergeCells>
  <conditionalFormatting sqref="H70:H71 G63:H69">
    <cfRule type="cellIs" dxfId="157" priority="131" operator="between">
      <formula>0</formula>
      <formula>0</formula>
    </cfRule>
  </conditionalFormatting>
  <conditionalFormatting sqref="G63:G69">
    <cfRule type="cellIs" dxfId="156" priority="130" operator="between">
      <formula>0</formula>
      <formula>0</formula>
    </cfRule>
  </conditionalFormatting>
  <conditionalFormatting sqref="G81:H83">
    <cfRule type="cellIs" dxfId="155" priority="129" operator="between">
      <formula>0</formula>
      <formula>0</formula>
    </cfRule>
  </conditionalFormatting>
  <conditionalFormatting sqref="E63:F69">
    <cfRule type="cellIs" dxfId="154" priority="128" operator="between">
      <formula>0</formula>
      <formula>0</formula>
    </cfRule>
  </conditionalFormatting>
  <conditionalFormatting sqref="E81:F83">
    <cfRule type="cellIs" dxfId="153" priority="127" operator="between">
      <formula>0</formula>
      <formula>0</formula>
    </cfRule>
  </conditionalFormatting>
  <conditionalFormatting sqref="F90:H92">
    <cfRule type="cellIs" dxfId="152" priority="126" operator="between">
      <formula>0</formula>
      <formula>0</formula>
    </cfRule>
  </conditionalFormatting>
  <conditionalFormatting sqref="F259:G261">
    <cfRule type="cellIs" dxfId="151" priority="125" operator="between">
      <formula>0</formula>
      <formula>0</formula>
    </cfRule>
  </conditionalFormatting>
  <conditionalFormatting sqref="F334:G336 F35:H36">
    <cfRule type="cellIs" dxfId="150" priority="124" operator="equal">
      <formula>0</formula>
    </cfRule>
  </conditionalFormatting>
  <conditionalFormatting sqref="F387:G389">
    <cfRule type="cellIs" dxfId="149" priority="123" operator="equal">
      <formula>0</formula>
    </cfRule>
  </conditionalFormatting>
  <conditionalFormatting sqref="H84:H85">
    <cfRule type="cellIs" dxfId="148" priority="122" operator="between">
      <formula>0</formula>
      <formula>0</formula>
    </cfRule>
  </conditionalFormatting>
  <conditionalFormatting sqref="F23:H31">
    <cfRule type="cellIs" dxfId="147" priority="119" operator="equal">
      <formula>0</formula>
    </cfRule>
  </conditionalFormatting>
  <conditionalFormatting sqref="G110:H115 G120:H124">
    <cfRule type="cellIs" dxfId="146" priority="115" operator="equal">
      <formula>0</formula>
    </cfRule>
  </conditionalFormatting>
  <conditionalFormatting sqref="F130 C131:E131">
    <cfRule type="cellIs" dxfId="145" priority="114" operator="equal">
      <formula>0</formula>
    </cfRule>
  </conditionalFormatting>
  <conditionalFormatting sqref="H130:H131">
    <cfRule type="cellIs" dxfId="144" priority="113" operator="equal">
      <formula>0</formula>
    </cfRule>
  </conditionalFormatting>
  <conditionalFormatting sqref="D168:D170">
    <cfRule type="cellIs" dxfId="143" priority="112" operator="equal">
      <formula>0</formula>
    </cfRule>
  </conditionalFormatting>
  <conditionalFormatting sqref="D23:D31">
    <cfRule type="cellIs" dxfId="142" priority="111" operator="equal">
      <formula>0</formula>
    </cfRule>
  </conditionalFormatting>
  <conditionalFormatting sqref="D35">
    <cfRule type="cellIs" dxfId="141" priority="106" operator="equal">
      <formula>0</formula>
    </cfRule>
  </conditionalFormatting>
  <conditionalFormatting sqref="D36">
    <cfRule type="cellIs" dxfId="140" priority="105" operator="equal">
      <formula>0</formula>
    </cfRule>
  </conditionalFormatting>
  <conditionalFormatting sqref="A184:E184">
    <cfRule type="expression" dxfId="139" priority="102">
      <formula>$G$183=$G$182</formula>
    </cfRule>
  </conditionalFormatting>
  <conditionalFormatting sqref="A187:E187">
    <cfRule type="expression" dxfId="138" priority="101">
      <formula>$G$186=$G$182</formula>
    </cfRule>
  </conditionalFormatting>
  <conditionalFormatting sqref="A189:E189">
    <cfRule type="expression" dxfId="137" priority="100">
      <formula>$G$188=$G$182</formula>
    </cfRule>
  </conditionalFormatting>
  <conditionalFormatting sqref="A257:H257">
    <cfRule type="expression" dxfId="136" priority="132">
      <formula>$J$259&lt;&gt;""</formula>
    </cfRule>
  </conditionalFormatting>
  <conditionalFormatting sqref="D293">
    <cfRule type="cellIs" dxfId="135" priority="98" operator="equal">
      <formula>0</formula>
    </cfRule>
  </conditionalFormatting>
  <conditionalFormatting sqref="D296">
    <cfRule type="cellIs" dxfId="134" priority="97" operator="equal">
      <formula>0</formula>
    </cfRule>
  </conditionalFormatting>
  <conditionalFormatting sqref="D346">
    <cfRule type="cellIs" dxfId="133" priority="96" operator="equal">
      <formula>0</formula>
    </cfRule>
  </conditionalFormatting>
  <conditionalFormatting sqref="D349">
    <cfRule type="cellIs" dxfId="132" priority="95" operator="equal">
      <formula>0</formula>
    </cfRule>
  </conditionalFormatting>
  <conditionalFormatting sqref="A315:D315">
    <cfRule type="expression" dxfId="131" priority="77">
      <formula>$F$315=1</formula>
    </cfRule>
  </conditionalFormatting>
  <conditionalFormatting sqref="A319:D319">
    <cfRule type="expression" dxfId="130" priority="76">
      <formula>$F$319=1</formula>
    </cfRule>
  </conditionalFormatting>
  <conditionalFormatting sqref="A323:D323">
    <cfRule type="expression" dxfId="129" priority="75">
      <formula>$F$323=1</formula>
    </cfRule>
  </conditionalFormatting>
  <conditionalFormatting sqref="H318">
    <cfRule type="expression" dxfId="128" priority="74">
      <formula>$H$318=0</formula>
    </cfRule>
  </conditionalFormatting>
  <conditionalFormatting sqref="H322">
    <cfRule type="expression" dxfId="127" priority="73">
      <formula>$H$322=0</formula>
    </cfRule>
  </conditionalFormatting>
  <conditionalFormatting sqref="H324">
    <cfRule type="expression" dxfId="126" priority="72">
      <formula>$H$324=0</formula>
    </cfRule>
  </conditionalFormatting>
  <conditionalFormatting sqref="H371">
    <cfRule type="expression" dxfId="125" priority="71">
      <formula>$H$371=0</formula>
    </cfRule>
  </conditionalFormatting>
  <conditionalFormatting sqref="H375">
    <cfRule type="expression" dxfId="124" priority="70">
      <formula>$H$375=0</formula>
    </cfRule>
  </conditionalFormatting>
  <conditionalFormatting sqref="H377">
    <cfRule type="expression" dxfId="123" priority="69">
      <formula>$H$377=0</formula>
    </cfRule>
  </conditionalFormatting>
  <conditionalFormatting sqref="A185:G185">
    <cfRule type="expression" dxfId="122" priority="67">
      <formula>$G$185="Inkorrekt!"</formula>
    </cfRule>
  </conditionalFormatting>
  <conditionalFormatting sqref="A386:D386">
    <cfRule type="expression" dxfId="121" priority="66">
      <formula>$E$386="!"</formula>
    </cfRule>
  </conditionalFormatting>
  <conditionalFormatting sqref="A333:D333">
    <cfRule type="expression" dxfId="120" priority="65">
      <formula>$E$333="!"</formula>
    </cfRule>
  </conditionalFormatting>
  <conditionalFormatting sqref="H5">
    <cfRule type="colorScale" priority="64">
      <colorScale>
        <cfvo type="num" val="0"/>
        <cfvo type="percentile" val="50"/>
        <cfvo type="num" val="100"/>
        <color rgb="FFC00000"/>
        <color rgb="FFFFC000"/>
        <color rgb="FFFFC000"/>
      </colorScale>
    </cfRule>
  </conditionalFormatting>
  <conditionalFormatting sqref="G32">
    <cfRule type="expression" dxfId="119" priority="62">
      <formula>OR(_OK?&lt;&gt;"OK!",_OK_KV?&lt;&gt;"OK_KV!")</formula>
    </cfRule>
  </conditionalFormatting>
  <conditionalFormatting sqref="F445:G447">
    <cfRule type="cellIs" dxfId="118" priority="61" operator="equal">
      <formula>0</formula>
    </cfRule>
  </conditionalFormatting>
  <conditionalFormatting sqref="D404">
    <cfRule type="cellIs" dxfId="117" priority="60" operator="equal">
      <formula>0</formula>
    </cfRule>
  </conditionalFormatting>
  <conditionalFormatting sqref="D407">
    <cfRule type="cellIs" dxfId="116" priority="59" operator="equal">
      <formula>0</formula>
    </cfRule>
  </conditionalFormatting>
  <conditionalFormatting sqref="H429">
    <cfRule type="expression" dxfId="115" priority="32">
      <formula>$H$429=0</formula>
    </cfRule>
  </conditionalFormatting>
  <conditionalFormatting sqref="H433">
    <cfRule type="expression" dxfId="114" priority="31">
      <formula>$H$433=0</formula>
    </cfRule>
  </conditionalFormatting>
  <conditionalFormatting sqref="H435">
    <cfRule type="expression" dxfId="113" priority="53">
      <formula>$H$435=0</formula>
    </cfRule>
  </conditionalFormatting>
  <conditionalFormatting sqref="A444:D444">
    <cfRule type="expression" dxfId="112" priority="52">
      <formula>$E$386="!"</formula>
    </cfRule>
  </conditionalFormatting>
  <conditionalFormatting sqref="F498:G500">
    <cfRule type="cellIs" dxfId="111" priority="51" operator="equal">
      <formula>0</formula>
    </cfRule>
  </conditionalFormatting>
  <conditionalFormatting sqref="D457">
    <cfRule type="cellIs" dxfId="110" priority="50" operator="equal">
      <formula>0</formula>
    </cfRule>
  </conditionalFormatting>
  <conditionalFormatting sqref="D460">
    <cfRule type="cellIs" dxfId="109" priority="49" operator="equal">
      <formula>0</formula>
    </cfRule>
  </conditionalFormatting>
  <conditionalFormatting sqref="H482">
    <cfRule type="expression" dxfId="108" priority="30">
      <formula>$H$482=0</formula>
    </cfRule>
  </conditionalFormatting>
  <conditionalFormatting sqref="H486">
    <cfRule type="expression" dxfId="107" priority="29">
      <formula>$H$486=0</formula>
    </cfRule>
  </conditionalFormatting>
  <conditionalFormatting sqref="H488">
    <cfRule type="expression" dxfId="106" priority="43">
      <formula>$H$488=0</formula>
    </cfRule>
  </conditionalFormatting>
  <conditionalFormatting sqref="A497:D497">
    <cfRule type="expression" dxfId="105" priority="42">
      <formula>$E$386="!"</formula>
    </cfRule>
  </conditionalFormatting>
  <conditionalFormatting sqref="A368:D368">
    <cfRule type="expression" dxfId="104" priority="41">
      <formula>$F$315=1</formula>
    </cfRule>
  </conditionalFormatting>
  <conditionalFormatting sqref="A426:D426">
    <cfRule type="expression" dxfId="103" priority="40">
      <formula>$F$315=1</formula>
    </cfRule>
  </conditionalFormatting>
  <conditionalFormatting sqref="A479:D479">
    <cfRule type="expression" dxfId="102" priority="39">
      <formula>$F$315=1</formula>
    </cfRule>
  </conditionalFormatting>
  <conditionalFormatting sqref="A372:D372">
    <cfRule type="expression" dxfId="101" priority="38">
      <formula>$F$319=1</formula>
    </cfRule>
  </conditionalFormatting>
  <conditionalFormatting sqref="A430:D430">
    <cfRule type="expression" dxfId="100" priority="37">
      <formula>$F$319=1</formula>
    </cfRule>
  </conditionalFormatting>
  <conditionalFormatting sqref="A483:D483">
    <cfRule type="expression" dxfId="99" priority="36">
      <formula>$F$319=1</formula>
    </cfRule>
  </conditionalFormatting>
  <conditionalFormatting sqref="A376:D376">
    <cfRule type="expression" dxfId="98" priority="35">
      <formula>$F$323=1</formula>
    </cfRule>
  </conditionalFormatting>
  <conditionalFormatting sqref="A434:D434">
    <cfRule type="expression" dxfId="97" priority="34">
      <formula>$F$323=1</formula>
    </cfRule>
  </conditionalFormatting>
  <conditionalFormatting sqref="A487:D487">
    <cfRule type="expression" dxfId="96" priority="33">
      <formula>$F$323=1</formula>
    </cfRule>
  </conditionalFormatting>
  <conditionalFormatting sqref="G294">
    <cfRule type="expression" dxfId="95" priority="28">
      <formula>OR(_OK?&lt;&gt;"OK!",_OK_KV?&lt;&gt;"OK_KV!")</formula>
    </cfRule>
  </conditionalFormatting>
  <conditionalFormatting sqref="G405">
    <cfRule type="expression" dxfId="94" priority="26">
      <formula>OR(_OK?&lt;&gt;"OK!",_OK_KV?&lt;&gt;"OK_KV!")</formula>
    </cfRule>
  </conditionalFormatting>
  <conditionalFormatting sqref="G347">
    <cfRule type="expression" dxfId="93" priority="25">
      <formula>OR(_OK?&lt;&gt;"OK!",_OK_KV?&lt;&gt;"OK_KV!")</formula>
    </cfRule>
  </conditionalFormatting>
  <conditionalFormatting sqref="G458">
    <cfRule type="expression" dxfId="92" priority="24">
      <formula>OR(_OK?&lt;&gt;"OK!",_OK_KV?&lt;&gt;"OK_KV!")</formula>
    </cfRule>
  </conditionalFormatting>
  <conditionalFormatting sqref="E39:F39">
    <cfRule type="expression" dxfId="91" priority="19">
      <formula>$F$39&lt;0.1</formula>
    </cfRule>
  </conditionalFormatting>
  <conditionalFormatting sqref="G219:H237">
    <cfRule type="expression" dxfId="90" priority="18">
      <formula>$H$218&lt;&gt;"Ja"</formula>
    </cfRule>
  </conditionalFormatting>
  <conditionalFormatting sqref="D22">
    <cfRule type="expression" dxfId="89" priority="17">
      <formula>(TODAY()-$D$22)&gt;365</formula>
    </cfRule>
  </conditionalFormatting>
  <conditionalFormatting sqref="G514">
    <cfRule type="expression" dxfId="88" priority="6">
      <formula>OR(_OK?&lt;&gt;"OK!",_OK_KV?&lt;&gt;"OK_KV!")</formula>
    </cfRule>
  </conditionalFormatting>
  <conditionalFormatting sqref="F554:G556">
    <cfRule type="cellIs" dxfId="87" priority="16" operator="equal">
      <formula>0</formula>
    </cfRule>
  </conditionalFormatting>
  <conditionalFormatting sqref="D510:D513">
    <cfRule type="cellIs" dxfId="86" priority="15" operator="equal">
      <formula>0</formula>
    </cfRule>
  </conditionalFormatting>
  <conditionalFormatting sqref="D516">
    <cfRule type="cellIs" dxfId="85" priority="14" operator="equal">
      <formula>0</formula>
    </cfRule>
  </conditionalFormatting>
  <conditionalFormatting sqref="H538">
    <cfRule type="expression" dxfId="84" priority="8">
      <formula>$H$538=0</formula>
    </cfRule>
  </conditionalFormatting>
  <conditionalFormatting sqref="H542">
    <cfRule type="expression" dxfId="83" priority="7">
      <formula>$H$542=0</formula>
    </cfRule>
  </conditionalFormatting>
  <conditionalFormatting sqref="H544">
    <cfRule type="expression" dxfId="82" priority="13">
      <formula>$H$544=0</formula>
    </cfRule>
  </conditionalFormatting>
  <conditionalFormatting sqref="A553:D553">
    <cfRule type="expression" dxfId="81" priority="12">
      <formula>$E$386="!"</formula>
    </cfRule>
  </conditionalFormatting>
  <conditionalFormatting sqref="A535:D535">
    <cfRule type="expression" dxfId="80" priority="11">
      <formula>$F$315=1</formula>
    </cfRule>
  </conditionalFormatting>
  <conditionalFormatting sqref="A539:D539">
    <cfRule type="expression" dxfId="79" priority="10">
      <formula>$F$319=1</formula>
    </cfRule>
  </conditionalFormatting>
  <conditionalFormatting sqref="A543:D543">
    <cfRule type="expression" dxfId="78" priority="9">
      <formula>$F$323=1</formula>
    </cfRule>
  </conditionalFormatting>
  <conditionalFormatting sqref="A84:H84 C77:H80 E81:H83 A86:H87 A85:E85 G85:H85">
    <cfRule type="expression" dxfId="77" priority="5">
      <formula>$G$76="Ja"</formula>
    </cfRule>
  </conditionalFormatting>
  <conditionalFormatting sqref="G221">
    <cfRule type="expression" dxfId="76" priority="4">
      <formula>$H$218&lt;&gt;"Ja"</formula>
    </cfRule>
  </conditionalFormatting>
  <conditionalFormatting sqref="G226">
    <cfRule type="expression" dxfId="75" priority="3">
      <formula>$H$218&lt;&gt;"Ja"</formula>
    </cfRule>
  </conditionalFormatting>
  <conditionalFormatting sqref="D8:G8">
    <cfRule type="expression" dxfId="74" priority="2">
      <formula>$D$8=0</formula>
    </cfRule>
  </conditionalFormatting>
  <conditionalFormatting sqref="D9:G9">
    <cfRule type="expression" dxfId="73" priority="1">
      <formula>$D$9=0</formula>
    </cfRule>
  </conditionalFormatting>
  <dataValidations count="61">
    <dataValidation type="decimal" allowBlank="1" showInputMessage="1" showErrorMessage="1" sqref="E346 E293 E404 E457" xr:uid="{00000000-0002-0000-0200-000000000000}">
      <formula1>0</formula1>
      <formula2>100</formula2>
    </dataValidation>
    <dataValidation type="list" allowBlank="1" showInputMessage="1" showErrorMessage="1" sqref="A516 A296 A293:C293 A346:C346 A349 A404:C404 A407 A457:C457 A460 A510:C513 A23:C31 A35:A36" xr:uid="{00000000-0002-0000-0200-000006000000}">
      <formula1>KVBezeichnung</formula1>
    </dataValidation>
    <dataValidation type="list" allowBlank="1" showInputMessage="1" showErrorMessage="1" sqref="B369:D369 A153:A157 B316:D316 B427:D427 B480:D480 B536:D536" xr:uid="{545840CD-1939-4802-83B9-5846E204AA66}">
      <formula1>MehrarbeitsStd</formula1>
    </dataValidation>
    <dataValidation type="list" allowBlank="1" showInputMessage="1" showErrorMessage="1" sqref="A162:A164 B373:D373 B320:D320 B431:D431 B484:D484 B540:D540" xr:uid="{1FD7147B-C2AD-4E34-965C-07EC9FD76378}">
      <formula1>AufzahlungsSTD</formula1>
    </dataValidation>
    <dataValidation type="list" allowBlank="1" showInputMessage="1" showErrorMessage="1" sqref="A63:B69 A81:B83" xr:uid="{3DBB0150-799E-4620-88BA-7CF51EC72686}">
      <formula1>ErschwernisZul</formula1>
    </dataValidation>
    <dataValidation type="list" allowBlank="1" showInputMessage="1" showErrorMessage="1" sqref="A110:C115" xr:uid="{401AB67D-3209-44B7-9953-E2FB4393A2AA}">
      <formula1>DienstreiseTAG</formula1>
    </dataValidation>
    <dataValidation type="list" allowBlank="1" showInputMessage="1" showErrorMessage="1" sqref="A120:C124" xr:uid="{14262165-D096-4EBE-AB8C-A853F8CED832}">
      <formula1>DienstreiseWOCHE</formula1>
    </dataValidation>
    <dataValidation type="decimal" errorStyle="warning" allowBlank="1" showInputMessage="1" showErrorMessage="1" error="Wollen Sie die Standardwerte wirklich in deiser Höhe anpassen?" sqref="H197" xr:uid="{1BE7FF02-A44A-4FEA-BFD7-029EAA5845D9}">
      <formula1>-0.05</formula1>
      <formula2>0.05</formula2>
    </dataValidation>
    <dataValidation type="list" allowBlank="1" showInputMessage="1" showErrorMessage="1" sqref="E266:F267 A339 A392 A450 A503 A559" xr:uid="{1B0681FF-E51E-4818-8069-5FBCD2666A29}">
      <formula1>K2GZWerte</formula1>
    </dataValidation>
    <dataValidation type="list" allowBlank="1" showInputMessage="1" showErrorMessage="1" sqref="A259:E261 A334:E336 A387:E389 A445:E447 A498:E500 A554:E556" xr:uid="{939FC73A-24B0-4165-A0BE-71331CDBD170}">
      <formula1>UmlagenK3spalteA</formula1>
    </dataValidation>
    <dataValidation type="whole" allowBlank="1" showInputMessage="1" showErrorMessage="1" error="Anpassung = 1; keine Anpassung = 0" sqref="F373:F374 F369:F370 F377:F384 F320:F321 F324:F331 F366:F367 F313:F314 F316:F317 F431:F432 F427:F428 F435:F442 F424:F425 F484:F485 F480:F481 F488:F495 F477:F478 F540:F541 F536:F537 F544:F551 F533:F534" xr:uid="{82E8D514-CDA5-4C12-88C5-380001F3FEC6}">
      <formula1>0</formula1>
      <formula2>1</formula2>
    </dataValidation>
    <dataValidation type="decimal" errorStyle="warning" allowBlank="1" showInputMessage="1" showErrorMessage="1" error="Umlage hoch! Bitte prüfen." sqref="E349 E296 E407 E460 E516" xr:uid="{724AB986-4204-4515-8964-DC07AA04D96C}">
      <formula1>0</formula1>
      <formula2>0.2</formula2>
    </dataValidation>
    <dataValidation type="decimal" errorStyle="warning" allowBlank="1" showInputMessage="1" showErrorMessage="1" error="Negativer Wert oder Wert über 5 % erscheint unplausibel. Bitte prüfen!" sqref="E218:E226 E229:E233" xr:uid="{5E92FF86-7EBB-4331-9672-1D24831368CC}">
      <formula1>0</formula1>
      <formula2>0.05</formula2>
    </dataValidation>
    <dataValidation type="list" allowBlank="1" showInputMessage="1" showErrorMessage="1" sqref="G183" xr:uid="{D4DFE011-D887-4824-B839-62D6D011821A}">
      <formula1>$F$182:$G$182</formula1>
    </dataValidation>
    <dataValidation allowBlank="1" showInputMessage="1" showErrorMessage="1" error="Entweder 2a ODER 2b auf KZ = 1 setz_x000a_en!" sqref="G185" xr:uid="{141D9EA7-9AF0-48CB-8CF9-E3199B4B12C7}"/>
    <dataValidation type="list" showInputMessage="1" showErrorMessage="1" sqref="G188 G186" xr:uid="{72F20281-6012-419E-A9B1-5EA0B7B159C2}">
      <formula1>$F$182:$G$182</formula1>
    </dataValidation>
    <dataValidation type="decimal" errorStyle="warning" allowBlank="1" showInputMessage="1" showErrorMessage="1" error="Wollen Sie den Standardwert wirklich erheblich anpassen?" sqref="E135" xr:uid="{B5D9C276-691F-4326-8CDB-57BEFB9E6F38}">
      <formula1>-D135*0.15-0.01</formula1>
      <formula2>D135*0.15+0.01</formula2>
    </dataValidation>
    <dataValidation type="decimal" errorStyle="warning" allowBlank="1" showInputMessage="1" showErrorMessage="1" error="Anzahl über 20? Wert erscheint hoch. Bitte die durchschnittliche kalkulierte projektbezogene Anzahl eintragen." sqref="E23:E31" xr:uid="{FFA1F29A-6FCA-4754-A917-692DABC96094}">
      <formula1>0</formula1>
      <formula2>20</formula2>
    </dataValidation>
    <dataValidation type="list" allowBlank="1" showInputMessage="1" showErrorMessage="1" sqref="A103:A105" xr:uid="{D30B3F77-1430-452B-BED0-8AD579EE830F}">
      <formula1>DienstreiseSTD</formula1>
    </dataValidation>
    <dataValidation type="list" allowBlank="1" showInputMessage="1" showErrorMessage="1" sqref="A168:A170 B377:D377 B324:D324 B435:D435 B488:D488 B544:D544" xr:uid="{86C0EC37-525A-4877-A0A3-2FF87194DE3A}">
      <formula1>AufzahlungsStdEURO</formula1>
    </dataValidation>
    <dataValidation allowBlank="1" showInputMessage="1" showErrorMessage="1" error="KZ = 0: der Erhöhungsfaktor gem KV wird verwendet._x000a_KZ = 1: der errechnete Erhöhungsfaktor wird verwendet." sqref="F168:G170" xr:uid="{5529BB77-6AD1-4066-ABFB-BC3B3D2C71A6}"/>
    <dataValidation type="list" allowBlank="1" showInputMessage="1" showErrorMessage="1" error="0 = Nein  / 1 = Ja" sqref="E91" xr:uid="{9BF7AEE4-9831-414F-8077-F327A2AD949A}">
      <formula1>$D$93:$E$93</formula1>
    </dataValidation>
    <dataValidation type="decimal" errorStyle="warning" allowBlank="1" showInputMessage="1" showErrorMessage="1" error="Wollen Sie die Standardwerte wirklich in dieser Höhe anpassen?" sqref="H178 H95" xr:uid="{E084E8C7-D03B-4A82-97F2-CBF5D6DDB91D}">
      <formula1>-0.01</formula1>
      <formula2>0.01</formula2>
    </dataValidation>
    <dataValidation type="decimal" errorStyle="warning" allowBlank="1" showInputMessage="1" showErrorMessage="1" error="Relativ hohe Anpassung! Wollen Sie das wirklich?" sqref="G358:H358 G305:H305 G416:H416 G469:H469 G525:H525" xr:uid="{B0953E5F-6A15-44FF-9920-E6F3FC10A330}">
      <formula1>-0.03</formula1>
      <formula2>0.03</formula2>
    </dataValidation>
    <dataValidation type="decimal" errorStyle="warning" allowBlank="1" showInputMessage="1" showErrorMessage="1" error="Wert außerhalb von 0% bis 100%!" sqref="C81:D83" xr:uid="{5FABEB2C-AC07-4174-8A8D-A459EBA51D30}">
      <formula1>0</formula1>
      <formula2>1</formula2>
    </dataValidation>
    <dataValidation type="decimal" errorStyle="warning" allowBlank="1" showInputMessage="1" showErrorMessage="1" error="Hinweis: Anpassung &gt; +/- 10 € pro Woche!!" sqref="E136:F136" xr:uid="{EDEDB990-785C-4327-AC60-93B89A3E498E}">
      <formula1>-10</formula1>
      <formula2>10</formula2>
    </dataValidation>
    <dataValidation type="decimal" errorStyle="warning" allowBlank="1" showInputMessage="1" showErrorMessage="1" error="Mehr als 10 Stunden?" sqref="C168:C170 C162:C164" xr:uid="{891CDEB7-5D3B-4EAE-AB77-E8E178897452}">
      <formula1>0</formula1>
      <formula2>10</formula2>
    </dataValidation>
    <dataValidation type="list" allowBlank="1" showInputMessage="1" showErrorMessage="1" error="Die Basis für die Aufzahlung richtet sich nach dem KollV bzw dem AZG. Sie können mit den Kennzeichen 1, 2, 3  oder 4 die Basis für die Aufzahlung bestimmen." sqref="E162:E164 E153:E157" xr:uid="{5F6CC2EE-39D0-406B-8B5A-1F5F680669ED}">
      <formula1>$N$7:$N$10</formula1>
    </dataValidation>
    <dataValidation type="list" allowBlank="1" showInputMessage="1" showErrorMessage="1" error="Kennzeichen muss 1 oder 2 sein (Leeres Feld ist wie KZ = 1)" sqref="F85 F71" xr:uid="{D18CD8B6-6A74-4903-9CD3-E38FAC626D37}">
      <formula1>$M$8:$M$9</formula1>
    </dataValidation>
    <dataValidation type="list" allowBlank="1" showInputMessage="1" showErrorMessage="1" sqref="C18" xr:uid="{5250C8CD-E659-464D-B840-F2F5C3A35DF3}">
      <formula1>$F$18:$G$18</formula1>
    </dataValidation>
    <dataValidation type="list" allowBlank="1" showInputMessage="1" showErrorMessage="1" sqref="C19" xr:uid="{6AA08971-D48D-409C-9241-98CACA9DC435}">
      <formula1>$F$19:$G$19</formula1>
    </dataValidation>
    <dataValidation type="date" errorStyle="warning" allowBlank="1" showInputMessage="1" showErrorMessage="1" error="Datum liegt in der Vergangenheit!" sqref="F14:G14" xr:uid="{962B263B-35BA-4275-B6AA-0B500B51D2E5}">
      <formula1>TODAY()</formula1>
      <formula2>73415</formula2>
    </dataValidation>
    <dataValidation type="list" showErrorMessage="1" error="KZ = 1: Unproduktives Personal ist zusätzlich zum produktiven P._x000a_KZ = 0: Unproduktives Personal ist Teil des zuvor angenommenen produktiven Personals." sqref="H38" xr:uid="{92DB0B3F-B030-4E38-B9B7-4F573BC8F299}">
      <formula1>$M$7:$M$8</formula1>
    </dataValidation>
    <dataValidation type="decimal" errorStyle="warning" allowBlank="1" showInputMessage="1" showErrorMessage="1" error="Wert erscheint hoch oder ist negativ!" sqref="F43" xr:uid="{55845E97-7BCB-4AE2-AB39-B90B1B76A67E}">
      <formula1>0</formula1>
      <formula2>0.25</formula2>
    </dataValidation>
    <dataValidation type="decimal" errorStyle="warning" allowBlank="1" showInputMessage="1" showErrorMessage="1" error="Relativ hohe Anpassung! Wollen Sie das wirklich?" sqref="G53:H53" xr:uid="{0FA89C53-9758-4DF4-9615-724E045BB7FA}">
      <formula1>-0.05</formula1>
      <formula2>0.05</formula2>
    </dataValidation>
    <dataValidation type="decimal" errorStyle="warning" allowBlank="1" showInputMessage="1" showErrorMessage="1" error="Wert größer als 100% (oder ein negativer Wert)!" sqref="C63:D69" xr:uid="{05EFA5F5-D0A5-4EE2-B760-20BD00F76330}">
      <formula1>0</formula1>
      <formula2>1</formula2>
    </dataValidation>
    <dataValidation type="decimal" errorStyle="warning" allowBlank="1" showInputMessage="1" showErrorMessage="1" error="Eingabe erscheint außerhalb eines plausiblen Bereiches!" sqref="F110:F115" xr:uid="{2FC759DC-69E8-4837-AAB0-F81020F03273}">
      <formula1>0.1</formula1>
      <formula2>7</formula2>
    </dataValidation>
    <dataValidation type="decimal" errorStyle="warning" allowBlank="1" showInputMessage="1" showErrorMessage="1" error="Wert über 100%! Bitte prüfen ob sinnvoll!" sqref="D110:D115" xr:uid="{678B9E33-1DB9-4782-9BFB-7B826FB38587}">
      <formula1>0</formula1>
      <formula2>1</formula2>
    </dataValidation>
    <dataValidation type="whole" errorStyle="information" operator="greaterThan" allowBlank="1" showInputMessage="1" showErrorMessage="1" error="Lizensierung läuft ab!" sqref="H5" xr:uid="{CDF936E2-FB35-4CBD-85B4-CC0AB9A5955C}">
      <formula1>10</formula1>
    </dataValidation>
    <dataValidation type="list" showInputMessage="1" showErrorMessage="1" error="Kennzeichen wählen (KZ = 1 oder 2); bei KZ = 0 erfolgt keine Berechnung." sqref="E130" xr:uid="{894B0F61-1856-434D-81E3-A2D3E2E77B47}">
      <formula1>$N$7:$N$8</formula1>
    </dataValidation>
    <dataValidation type="decimal" errorStyle="warning" allowBlank="1" showInputMessage="1" showErrorMessage="1" error="Mehr als 5 Stunden?" sqref="C153:C157" xr:uid="{1527BB8A-1110-47C4-90C3-9F9D476BEDA6}">
      <formula1>0</formula1>
      <formula2>5</formula2>
    </dataValidation>
    <dataValidation type="decimal" errorStyle="warning" allowBlank="1" showInputMessage="1" showErrorMessage="1" error="Wenn alle DPNK bereits unter E1 bereücksichtigt sind, erscheint der Wert seht hoch!" sqref="F201:F202" xr:uid="{7ED45538-A529-453D-BBD1-596BC5F07F73}">
      <formula1>0</formula1>
      <formula2>0.05</formula2>
    </dataValidation>
    <dataValidation type="decimal" errorStyle="warning" allowBlank="1" showInputMessage="1" showErrorMessage="1" error="Bitte kontrollieren (idR zw 0% und 100%)!_x000a_" sqref="D103:D105" xr:uid="{81AEBDEC-324B-44F4-9C78-B5F298226C4F}">
      <formula1>0</formula1>
      <formula2>1</formula2>
    </dataValidation>
    <dataValidation allowBlank="1" showInputMessage="1" showErrorMessage="1" error="Anpassung = 1; keine Anpassung = 0" sqref="F377 F324 F435 F488 F544" xr:uid="{D35BBB27-DCE2-4CCC-902D-B06D2C9AF834}"/>
    <dataValidation type="decimal" errorStyle="warning" allowBlank="1" showInputMessage="1" showErrorMessage="1" error="Außerhalb von 50% bis 100%! Plausibel?" sqref="D130" xr:uid="{A77CF1D9-1602-4920-9B6D-6230CF97E719}">
      <formula1>0.5</formula1>
      <formula2>1</formula2>
    </dataValidation>
    <dataValidation type="list" allowBlank="1" showInputMessage="1" showErrorMessage="1" sqref="F275 F277" xr:uid="{55C6FCF1-D935-43F8-884F-63CEE274FF28}">
      <formula1>$D$273:$E$273</formula1>
    </dataValidation>
    <dataValidation type="decimal" errorStyle="warning" allowBlank="1" showInputMessage="1" showErrorMessage="1" error="Negativer Wert oder Wert über 15 % erscheint unplausibel. Bitte prüfen!" sqref="F216 F227" xr:uid="{E8DEE830-5210-4B21-AE0D-209867C632B7}">
      <formula1>0</formula1>
      <formula2>0.15</formula2>
    </dataValidation>
    <dataValidation type="list" allowBlank="1" showInputMessage="1" showErrorMessage="1" sqref="F315 F319 F323 F487 F483 F479 F434 F430 F426 F376 F372 F368 F543 F539 F535" xr:uid="{F81DCBFF-9FFC-46E5-AF67-7111044329A6}">
      <formula1>$M$7:$M$8</formula1>
    </dataValidation>
    <dataValidation type="list" allowBlank="1" showInputMessage="1" showErrorMessage="1" error="Kennzeichen 1, 2, 3 oder 4_x000a_ möglich._x000a_Siehe oben Pkt D!" sqref="F318 F322 F371 F375 F429 F433 F482 F486 F538 F542" xr:uid="{AB6AD13E-AAB8-4768-9F50-0FCF93B4D3CB}">
      <formula1>$N$6:$N$10</formula1>
    </dataValidation>
    <dataValidation type="list" allowBlank="1" showInputMessage="1" showErrorMessage="1" error="Kennzeichen ist 1, 2, 3 oder 4. Erklärung siehe Punkt D." sqref="F486 F482 F433 F429 F375 F371 F322 F318 F542 F538" xr:uid="{99767A30-7D38-41BA-9A16-E5BFF299C3BA}">
      <formula1>$N$6:$N$10</formula1>
    </dataValidation>
    <dataValidation type="list" showErrorMessage="1" error="KZ = 1: Unproduktive Zeiten sind zusätzlich zu den produktiven._x000a_KZ = 0: Unproduktive Zeiten sind Teil der zuvor angenommenen produktiveb Zeiten." prompt="KZ = 1: Unproduktive Zeiten sind zusätzlich zu den produktiven._x000a_KZ = 0: Unproduktive Zeiten sind Teil der zuvor angenommenen produktiveb Zeiten." sqref="H299 H352 H410 H463 H519" xr:uid="{7E6D1595-48F6-4792-9621-7112152F15DE}">
      <formula1>$M$7:$M$8</formula1>
    </dataValidation>
    <dataValidation type="decimal" errorStyle="warning" operator="lessThan" allowBlank="1" showInputMessage="1" showErrorMessage="1" error="Eingabe von Mehr als 5 Tage pro Woche. Korrekt?" sqref="C130" xr:uid="{86ED9A2D-78EF-42C1-95C4-9E476F459ED2}">
      <formula1>6</formula1>
    </dataValidation>
    <dataValidation type="decimal" operator="greaterThan" allowBlank="1" showInputMessage="1" showErrorMessage="1" error="Zahl &gt; 0 eingeben!" sqref="G231:H231 G221:H221" xr:uid="{98B31C96-5D70-43F6-85B8-7D1700D136D6}">
      <formula1>0</formula1>
    </dataValidation>
    <dataValidation type="list" allowBlank="1" showInputMessage="1" showErrorMessage="1" error="Bitte auswählen!" sqref="H218" xr:uid="{1EEA8768-5B2D-46CE-8BEE-772D1CDD6EA4}">
      <formula1>$D$273:$E$273</formula1>
    </dataValidation>
    <dataValidation type="whole" errorStyle="warning" operator="greaterThanOrEqual" allowBlank="1" showInputMessage="1" showErrorMessage="1" error="Partie kann grundsätzlich nur aus ganzen &quot;Köpfen&quot; bestehen! " sqref="E510:E513" xr:uid="{7545D179-DE23-46B6-897E-B2D18B647FFE}">
      <formula1>0</formula1>
    </dataValidation>
    <dataValidation type="decimal" operator="greaterThanOrEqual" allowBlank="1" showInputMessage="1" showErrorMessage="1" error="Eingabe der Anzahl der Stunden pro Tag (Eingabe größer gleich 0)!" sqref="A130:B130" xr:uid="{66252FF7-3C0D-4ECB-8A68-2ABEFE12411F}">
      <formula1>0</formula1>
    </dataValidation>
    <dataValidation type="list" allowBlank="1" showInputMessage="1" showErrorMessage="1" error="Ja oder Nein auswählen!" sqref="F271:F272" xr:uid="{914C41E8-D998-450C-B310-0A323B39457F}">
      <formula1>"Ja,Nein"</formula1>
    </dataValidation>
    <dataValidation type="list" allowBlank="1" showInputMessage="1" showErrorMessage="1" error="Bitte Ja oder Nein auswählen. Individuelle Eingabe bei B2b nur bei &quot;Nein&quot; möglich." sqref="G76" xr:uid="{E3A9EAFC-4281-4B0C-8DB4-B105553E5DE7}">
      <formula1>"Ja, Nein"</formula1>
    </dataValidation>
    <dataValidation errorStyle="warning" allowBlank="1" showInputMessage="1" showErrorMessage="1" error="Negativer Wert oder Wert über 5 % erscheint unplausibel. Bitte prüfen!" sqref="E234:E237" xr:uid="{BC2A8F29-A900-473E-9301-BEEBF4D46A5E}"/>
    <dataValidation type="decimal" errorStyle="warning" allowBlank="1" showInputMessage="1" showErrorMessage="1" error="Wert erscheint in Bezug zum produktiveb Personal hoch!" sqref="E35:E36" xr:uid="{48ED1086-8E17-4CC7-B7C8-4B077728CA16}">
      <formula1>0</formula1>
      <formula2>E$32*0.15</formula2>
    </dataValidation>
    <dataValidation type="decimal" errorStyle="warning" allowBlank="1" showInputMessage="1" showErrorMessage="1" error="Wert, mit dem der Rechenwert verwändert werden soll, erscheint hoch!" sqref="G172" xr:uid="{6229FB45-118C-4BD1-8129-EBE59D510CA5}">
      <formula1>-0.1*H173</formula1>
      <formula2>0.1*H173</formula2>
    </dataValidation>
  </dataValidations>
  <pageMargins left="0.7" right="0.7" top="0.78740157499999996" bottom="0.78740157499999996" header="0.3" footer="0.3"/>
  <pageSetup paperSize="9" orientation="portrait" r:id="rId1"/>
  <headerFooter>
    <oddFooter>&amp;L&amp;10K3-Detailberechnung
Seite: &amp;P von &amp;N&amp;R&amp;10&amp;F</oddFooter>
  </headerFooter>
  <rowBreaks count="20" manualBreakCount="20">
    <brk id="33" max="16383" man="1"/>
    <brk id="57" max="16383" man="1"/>
    <brk id="88" max="16383" man="1"/>
    <brk id="125" max="16383" man="1"/>
    <brk id="141" max="16383" man="1"/>
    <brk id="175" max="16383" man="1"/>
    <brk id="213" max="16383" man="1"/>
    <brk id="240" max="16383" man="1"/>
    <brk id="279" max="16383" man="1"/>
    <brk id="283" max="16383" man="1"/>
    <brk id="309" max="16383" man="1"/>
    <brk id="341" max="16383" man="1"/>
    <brk id="360" max="16383" man="1"/>
    <brk id="399" max="16383" man="1"/>
    <brk id="418" max="16383" man="1"/>
    <brk id="452" max="16383" man="1"/>
    <brk id="473" max="16383" man="1"/>
    <brk id="505" max="16383" man="1"/>
    <brk id="529" max="16383" man="1"/>
    <brk id="562" max="16383" man="1"/>
  </rowBreaks>
  <ignoredErrors>
    <ignoredError sqref="G254:G256 G259:G262 G266 A263" unlockedFormula="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2D22-ADD6-468B-89FB-A8DEDC568E15}">
  <sheetPr>
    <tabColor rgb="FFFFFF99"/>
  </sheetPr>
  <dimension ref="A1:I89"/>
  <sheetViews>
    <sheetView showGridLines="0" workbookViewId="0">
      <selection activeCell="A79" sqref="A79:I89"/>
    </sheetView>
  </sheetViews>
  <sheetFormatPr baseColWidth="10" defaultRowHeight="15" x14ac:dyDescent="0.4"/>
  <cols>
    <col min="1" max="1" width="4.21875" customWidth="1"/>
    <col min="2" max="9" width="10.21875" customWidth="1"/>
  </cols>
  <sheetData>
    <row r="1" spans="1:9" ht="15.75" x14ac:dyDescent="0.5">
      <c r="A1" s="524" t="s">
        <v>439</v>
      </c>
      <c r="B1" s="211"/>
      <c r="C1" s="211"/>
      <c r="D1" s="211"/>
      <c r="E1" s="211"/>
      <c r="F1" s="211"/>
      <c r="G1" s="211"/>
      <c r="H1" s="211"/>
      <c r="I1" s="212"/>
    </row>
    <row r="2" spans="1:9" ht="15.75" x14ac:dyDescent="0.5">
      <c r="A2" s="525"/>
      <c r="B2" s="193"/>
      <c r="C2" s="193"/>
      <c r="D2" s="193"/>
      <c r="E2" s="193"/>
      <c r="F2" s="193"/>
      <c r="G2" s="193"/>
      <c r="H2" s="193"/>
      <c r="I2" s="194"/>
    </row>
    <row r="3" spans="1:9" ht="15.75" x14ac:dyDescent="0.5">
      <c r="A3" s="530" t="s">
        <v>441</v>
      </c>
      <c r="B3" s="531"/>
      <c r="C3" s="531"/>
      <c r="D3" s="193"/>
      <c r="E3" s="193"/>
      <c r="F3" s="193"/>
      <c r="G3" s="193"/>
      <c r="H3" s="193"/>
      <c r="I3" s="194"/>
    </row>
    <row r="4" spans="1:9" ht="15.75" x14ac:dyDescent="0.5">
      <c r="A4" s="525" t="s">
        <v>434</v>
      </c>
      <c r="B4" s="193"/>
      <c r="C4" s="193"/>
      <c r="D4" s="193"/>
      <c r="E4" s="193"/>
      <c r="F4" s="193"/>
      <c r="G4" s="193"/>
      <c r="H4" s="193"/>
      <c r="I4" s="194"/>
    </row>
    <row r="5" spans="1:9" ht="15.75" x14ac:dyDescent="0.5">
      <c r="A5" s="525" t="s">
        <v>436</v>
      </c>
      <c r="B5" s="193"/>
      <c r="C5" s="193"/>
      <c r="D5" s="193"/>
      <c r="E5" s="193"/>
      <c r="F5" s="193"/>
      <c r="G5" s="193"/>
      <c r="H5" s="193"/>
      <c r="I5" s="194"/>
    </row>
    <row r="6" spans="1:9" ht="15.75" x14ac:dyDescent="0.5">
      <c r="A6" s="525" t="s">
        <v>435</v>
      </c>
      <c r="B6" s="193"/>
      <c r="C6" s="193"/>
      <c r="D6" s="193"/>
      <c r="E6" s="193"/>
      <c r="F6" s="193"/>
      <c r="G6" s="193"/>
      <c r="H6" s="193"/>
      <c r="I6" s="194"/>
    </row>
    <row r="7" spans="1:9" ht="15.75" x14ac:dyDescent="0.5">
      <c r="A7" s="525" t="s">
        <v>437</v>
      </c>
      <c r="B7" s="193"/>
      <c r="C7" s="193"/>
      <c r="D7" s="193"/>
      <c r="E7" s="193"/>
      <c r="F7" s="193"/>
      <c r="G7" s="193"/>
      <c r="H7" s="193"/>
      <c r="I7" s="194"/>
    </row>
    <row r="8" spans="1:9" ht="15.75" x14ac:dyDescent="0.5">
      <c r="A8" s="525" t="s">
        <v>438</v>
      </c>
      <c r="B8" s="193"/>
      <c r="C8" s="193"/>
      <c r="D8" s="193"/>
      <c r="E8" s="193"/>
      <c r="F8" s="193"/>
      <c r="G8" s="193"/>
      <c r="H8" s="193"/>
      <c r="I8" s="194"/>
    </row>
    <row r="9" spans="1:9" ht="15.75" x14ac:dyDescent="0.5">
      <c r="A9" s="525"/>
      <c r="B9" s="193"/>
      <c r="C9" s="193"/>
      <c r="D9" s="193"/>
      <c r="E9" s="193"/>
      <c r="F9" s="193"/>
      <c r="G9" s="193"/>
      <c r="H9" s="193"/>
      <c r="I9" s="194"/>
    </row>
    <row r="10" spans="1:9" ht="15.75" x14ac:dyDescent="0.5">
      <c r="A10" s="530" t="s">
        <v>682</v>
      </c>
      <c r="B10" s="193"/>
      <c r="C10" s="193"/>
      <c r="D10" s="193"/>
      <c r="E10" s="193"/>
      <c r="F10" s="193"/>
      <c r="G10" s="193"/>
      <c r="H10" s="193"/>
      <c r="I10" s="194"/>
    </row>
    <row r="11" spans="1:9" ht="15.75" x14ac:dyDescent="0.5">
      <c r="A11" s="525"/>
      <c r="B11" s="193"/>
      <c r="C11" s="193"/>
      <c r="D11" s="193"/>
      <c r="E11" s="193"/>
      <c r="F11" s="193"/>
      <c r="G11" s="193"/>
      <c r="H11" s="193"/>
      <c r="I11" s="194"/>
    </row>
    <row r="12" spans="1:9" ht="15" customHeight="1" x14ac:dyDescent="0.5">
      <c r="A12" s="525"/>
      <c r="B12" s="1959" t="str">
        <f ca="1">_F1</f>
        <v/>
      </c>
      <c r="C12" s="1959"/>
      <c r="D12" s="1959"/>
      <c r="E12" s="1959"/>
      <c r="F12" s="1959"/>
      <c r="G12" s="1959"/>
      <c r="H12" s="1959"/>
      <c r="I12" s="1960"/>
    </row>
    <row r="13" spans="1:9" ht="15" customHeight="1" x14ac:dyDescent="0.4">
      <c r="A13" s="526"/>
      <c r="B13" s="1959" t="str">
        <f ca="1">_F2</f>
        <v/>
      </c>
      <c r="C13" s="1959"/>
      <c r="D13" s="1959"/>
      <c r="E13" s="1959"/>
      <c r="F13" s="1959"/>
      <c r="G13" s="1959"/>
      <c r="H13" s="1959"/>
      <c r="I13" s="1960"/>
    </row>
    <row r="14" spans="1:9" ht="15" customHeight="1" x14ac:dyDescent="0.4">
      <c r="A14" s="526"/>
      <c r="B14" s="1959" t="str">
        <f ca="1">_F3</f>
        <v xml:space="preserve">Keine Erschwerniszuschläge / Zulagen (B) kalkuliert. Bitte prüfen ob korrekt. </v>
      </c>
      <c r="C14" s="1959"/>
      <c r="D14" s="1959"/>
      <c r="E14" s="1959"/>
      <c r="F14" s="1959"/>
      <c r="G14" s="1959"/>
      <c r="H14" s="1959"/>
      <c r="I14" s="1960"/>
    </row>
    <row r="15" spans="1:9" ht="15" customHeight="1" x14ac:dyDescent="0.4">
      <c r="A15" s="526"/>
      <c r="B15" s="1959" t="str">
        <f ca="1">_F4</f>
        <v/>
      </c>
      <c r="C15" s="1959"/>
      <c r="D15" s="1959"/>
      <c r="E15" s="1959"/>
      <c r="F15" s="1959"/>
      <c r="G15" s="1959"/>
      <c r="H15" s="1959"/>
      <c r="I15" s="1960"/>
    </row>
    <row r="16" spans="1:9" ht="15" customHeight="1" x14ac:dyDescent="0.4">
      <c r="A16" s="526"/>
      <c r="B16" s="1959" t="str">
        <f ca="1">_F5</f>
        <v/>
      </c>
      <c r="C16" s="1959"/>
      <c r="D16" s="1959"/>
      <c r="E16" s="1959"/>
      <c r="F16" s="1959"/>
      <c r="G16" s="1959"/>
      <c r="H16" s="1959"/>
      <c r="I16" s="1960"/>
    </row>
    <row r="17" spans="1:9" ht="15" customHeight="1" x14ac:dyDescent="0.4">
      <c r="A17" s="526"/>
      <c r="B17" s="1959" t="str">
        <f ca="1">_F6</f>
        <v/>
      </c>
      <c r="C17" s="1959"/>
      <c r="D17" s="1959"/>
      <c r="E17" s="1959"/>
      <c r="F17" s="1959"/>
      <c r="G17" s="1959"/>
      <c r="H17" s="1959"/>
      <c r="I17" s="1960"/>
    </row>
    <row r="18" spans="1:9" ht="15" customHeight="1" x14ac:dyDescent="0.4">
      <c r="A18" s="526"/>
      <c r="B18" s="1959" t="str">
        <f ca="1">_F7</f>
        <v xml:space="preserve">Personalgemeinkosten (F) in Höhe von 18,555% kann zu Nachfrage seitens des AG führen. </v>
      </c>
      <c r="C18" s="1959"/>
      <c r="D18" s="1959"/>
      <c r="E18" s="1959"/>
      <c r="F18" s="1959"/>
      <c r="G18" s="1959"/>
      <c r="H18" s="1959"/>
      <c r="I18" s="1960"/>
    </row>
    <row r="19" spans="1:9" ht="15" customHeight="1" x14ac:dyDescent="0.4">
      <c r="A19" s="526"/>
      <c r="B19" s="1959" t="str">
        <f ca="1">_F16</f>
        <v/>
      </c>
      <c r="C19" s="1959"/>
      <c r="D19" s="1959"/>
      <c r="E19" s="1959"/>
      <c r="F19" s="1959"/>
      <c r="G19" s="1959"/>
      <c r="H19" s="1959"/>
      <c r="I19" s="1960"/>
    </row>
    <row r="20" spans="1:9" ht="15" customHeight="1" x14ac:dyDescent="0.4">
      <c r="A20" s="526"/>
      <c r="B20" s="1959" t="str">
        <f>_F8</f>
        <v/>
      </c>
      <c r="C20" s="1959"/>
      <c r="D20" s="1959"/>
      <c r="E20" s="1959"/>
      <c r="F20" s="1959"/>
      <c r="G20" s="1959"/>
      <c r="H20" s="1959"/>
      <c r="I20" s="1960"/>
    </row>
    <row r="21" spans="1:9" ht="15" customHeight="1" x14ac:dyDescent="0.4">
      <c r="A21" s="526"/>
      <c r="B21" s="1959" t="str">
        <f>_F9</f>
        <v/>
      </c>
      <c r="C21" s="1959"/>
      <c r="D21" s="1959"/>
      <c r="E21" s="1959"/>
      <c r="F21" s="1959"/>
      <c r="G21" s="1959"/>
      <c r="H21" s="1959"/>
      <c r="I21" s="1960"/>
    </row>
    <row r="22" spans="1:9" ht="15" customHeight="1" x14ac:dyDescent="0.4">
      <c r="A22" s="526"/>
      <c r="B22" s="1959" t="str">
        <f ca="1">_F10</f>
        <v/>
      </c>
      <c r="C22" s="1959"/>
      <c r="D22" s="1959"/>
      <c r="E22" s="1959"/>
      <c r="F22" s="1959"/>
      <c r="G22" s="1959"/>
      <c r="H22" s="1959"/>
      <c r="I22" s="1960"/>
    </row>
    <row r="23" spans="1:9" ht="15" customHeight="1" x14ac:dyDescent="0.4">
      <c r="A23" s="526"/>
      <c r="B23" s="1959" t="str">
        <f ca="1">_F11</f>
        <v/>
      </c>
      <c r="C23" s="1959"/>
      <c r="D23" s="1959"/>
      <c r="E23" s="1959"/>
      <c r="F23" s="1959"/>
      <c r="G23" s="1959"/>
      <c r="H23" s="1959"/>
      <c r="I23" s="1960"/>
    </row>
    <row r="24" spans="1:9" ht="15" customHeight="1" x14ac:dyDescent="0.5">
      <c r="A24" s="525"/>
      <c r="B24" s="1959" t="str">
        <f ca="1">_F12</f>
        <v/>
      </c>
      <c r="C24" s="1959"/>
      <c r="D24" s="1959"/>
      <c r="E24" s="1959"/>
      <c r="F24" s="1959"/>
      <c r="G24" s="1959"/>
      <c r="H24" s="1959"/>
      <c r="I24" s="1960"/>
    </row>
    <row r="25" spans="1:9" ht="15" customHeight="1" x14ac:dyDescent="0.5">
      <c r="A25" s="525"/>
      <c r="B25" s="1959" t="str">
        <f ca="1">_F13</f>
        <v/>
      </c>
      <c r="C25" s="1959"/>
      <c r="D25" s="1959"/>
      <c r="E25" s="1959"/>
      <c r="F25" s="1959"/>
      <c r="G25" s="1959"/>
      <c r="H25" s="1959"/>
      <c r="I25" s="1960"/>
    </row>
    <row r="26" spans="1:9" ht="15" customHeight="1" x14ac:dyDescent="0.5">
      <c r="A26" s="525"/>
      <c r="B26" s="1959" t="str">
        <f ca="1">_F14</f>
        <v/>
      </c>
      <c r="C26" s="1959"/>
      <c r="D26" s="1959"/>
      <c r="E26" s="1959"/>
      <c r="F26" s="1959"/>
      <c r="G26" s="1959"/>
      <c r="H26" s="1959"/>
      <c r="I26" s="1960"/>
    </row>
    <row r="27" spans="1:9" ht="15" customHeight="1" x14ac:dyDescent="0.5">
      <c r="A27" s="525"/>
      <c r="B27" s="1959" t="str">
        <f ca="1">_F15</f>
        <v/>
      </c>
      <c r="C27" s="1959"/>
      <c r="D27" s="1959"/>
      <c r="E27" s="1959"/>
      <c r="F27" s="1959"/>
      <c r="G27" s="1959"/>
      <c r="H27" s="1959"/>
      <c r="I27" s="1960"/>
    </row>
    <row r="28" spans="1:9" ht="15" customHeight="1" x14ac:dyDescent="0.5">
      <c r="A28" s="525"/>
      <c r="B28" s="193"/>
      <c r="C28" s="193"/>
      <c r="D28" s="193"/>
      <c r="E28" s="193"/>
      <c r="F28" s="193"/>
      <c r="G28" s="193"/>
      <c r="H28" s="193"/>
      <c r="I28" s="194"/>
    </row>
    <row r="29" spans="1:9" ht="15.75" x14ac:dyDescent="0.5">
      <c r="A29" s="527" t="s">
        <v>440</v>
      </c>
      <c r="B29" s="528"/>
      <c r="C29" s="528"/>
      <c r="D29" s="528"/>
      <c r="E29" s="528"/>
      <c r="F29" s="528"/>
      <c r="G29" s="528"/>
      <c r="H29" s="528"/>
      <c r="I29" s="529"/>
    </row>
    <row r="30" spans="1:9" ht="15.75" x14ac:dyDescent="0.5">
      <c r="A30" s="568"/>
      <c r="B30" s="559"/>
      <c r="C30" s="559"/>
      <c r="D30" s="559"/>
      <c r="E30" s="559"/>
      <c r="F30" s="559"/>
      <c r="G30" s="559"/>
      <c r="H30" s="559"/>
      <c r="I30" s="569"/>
    </row>
    <row r="31" spans="1:9" ht="31.5" customHeight="1" x14ac:dyDescent="0.4">
      <c r="A31" s="1984" t="s">
        <v>540</v>
      </c>
      <c r="B31" s="1985"/>
      <c r="C31" s="1985"/>
      <c r="D31" s="1986"/>
      <c r="E31" s="1973" t="s">
        <v>528</v>
      </c>
      <c r="F31" s="1974"/>
      <c r="G31" s="1975" t="s">
        <v>529</v>
      </c>
      <c r="H31" s="1976"/>
      <c r="I31" s="637" t="s">
        <v>67</v>
      </c>
    </row>
    <row r="32" spans="1:9" ht="15.75" x14ac:dyDescent="0.5">
      <c r="A32" s="567"/>
      <c r="B32" s="560"/>
      <c r="C32" s="560"/>
      <c r="D32" s="560"/>
      <c r="E32" s="931" t="s">
        <v>86</v>
      </c>
      <c r="F32" s="932" t="s">
        <v>87</v>
      </c>
      <c r="G32" s="933" t="s">
        <v>86</v>
      </c>
      <c r="H32" s="934" t="s">
        <v>87</v>
      </c>
      <c r="I32" s="638"/>
    </row>
    <row r="33" spans="1:9" ht="15.4" x14ac:dyDescent="0.45">
      <c r="A33" s="596" t="s">
        <v>526</v>
      </c>
      <c r="B33" s="572"/>
      <c r="C33" s="572"/>
      <c r="D33" s="620"/>
      <c r="E33" s="623">
        <f ca="1">Projekt!D49</f>
        <v>30.4</v>
      </c>
      <c r="F33" s="624">
        <f ca="1">Projekt!E49</f>
        <v>3.67</v>
      </c>
      <c r="G33" s="631"/>
      <c r="H33" s="632"/>
      <c r="I33" s="639">
        <f ca="1">SUM(E33:H33)</f>
        <v>34.07</v>
      </c>
    </row>
    <row r="34" spans="1:9" ht="15.4" x14ac:dyDescent="0.45">
      <c r="A34" s="596" t="s">
        <v>527</v>
      </c>
      <c r="B34" s="572"/>
      <c r="C34" s="572"/>
      <c r="D34" s="620"/>
      <c r="E34" s="623"/>
      <c r="F34" s="624"/>
      <c r="G34" s="631">
        <f ca="1">Projekt!D51</f>
        <v>1.64</v>
      </c>
      <c r="H34" s="632">
        <f ca="1">Projekt!E51</f>
        <v>0.25</v>
      </c>
      <c r="I34" s="639">
        <f ca="1">SUM(E34:H34)</f>
        <v>1.89</v>
      </c>
    </row>
    <row r="35" spans="1:9" ht="15.4" x14ac:dyDescent="0.45">
      <c r="A35" s="621" t="s">
        <v>519</v>
      </c>
      <c r="B35" s="572"/>
      <c r="C35" s="572"/>
      <c r="D35" s="620"/>
      <c r="E35" s="626">
        <f ca="1">Projekt!D50</f>
        <v>0</v>
      </c>
      <c r="F35" s="624">
        <f ca="1">Projekt!E50</f>
        <v>0</v>
      </c>
      <c r="G35" s="631"/>
      <c r="H35" s="632"/>
      <c r="I35" s="639">
        <f t="shared" ref="I35:I46" ca="1" si="0">SUM(E35:H35)</f>
        <v>0</v>
      </c>
    </row>
    <row r="36" spans="1:9" ht="15.4" x14ac:dyDescent="0.45">
      <c r="A36" s="596" t="s">
        <v>516</v>
      </c>
      <c r="B36" s="572"/>
      <c r="C36" s="620"/>
      <c r="D36" s="597">
        <f ca="1">Projekt!H96+Projekt!H173</f>
        <v>0</v>
      </c>
      <c r="E36" s="623">
        <f ca="1">D36*E33+D36*E35</f>
        <v>0</v>
      </c>
      <c r="F36" s="624"/>
      <c r="G36" s="631">
        <f ca="1">D36*G34</f>
        <v>0</v>
      </c>
      <c r="H36" s="632"/>
      <c r="I36" s="639">
        <f t="shared" ca="1" si="0"/>
        <v>0</v>
      </c>
    </row>
    <row r="37" spans="1:9" ht="15.4" x14ac:dyDescent="0.45">
      <c r="A37" s="622" t="s">
        <v>517</v>
      </c>
      <c r="B37" s="573"/>
      <c r="C37" s="573"/>
      <c r="D37" s="574">
        <f ca="1">' K3 PP'!O27/' K3 PP'!O23</f>
        <v>7.1199999999999999E-2</v>
      </c>
      <c r="E37" s="627">
        <f ca="1">D37*E33+D37*E35</f>
        <v>2.16</v>
      </c>
      <c r="F37" s="628"/>
      <c r="G37" s="633">
        <f ca="1">D37*G34</f>
        <v>0.12</v>
      </c>
      <c r="H37" s="634"/>
      <c r="I37" s="640">
        <f t="shared" ca="1" si="0"/>
        <v>2.2799999999999998</v>
      </c>
    </row>
    <row r="38" spans="1:9" ht="15.4" x14ac:dyDescent="0.45">
      <c r="A38" s="621" t="s">
        <v>530</v>
      </c>
      <c r="B38" s="572"/>
      <c r="C38" s="572"/>
      <c r="D38" s="597"/>
      <c r="E38" s="623">
        <f ca="1">SUM(E33:E37)</f>
        <v>32.56</v>
      </c>
      <c r="F38" s="625">
        <f ca="1">SUM(F33:F37)</f>
        <v>3.67</v>
      </c>
      <c r="G38" s="631">
        <f ca="1">SUM(G33:G37)</f>
        <v>1.76</v>
      </c>
      <c r="H38" s="632">
        <f ca="1">SUM(H33:H37)</f>
        <v>0.25</v>
      </c>
      <c r="I38" s="639">
        <f t="shared" ca="1" si="0"/>
        <v>38.24</v>
      </c>
    </row>
    <row r="39" spans="1:9" ht="15.4" x14ac:dyDescent="0.45">
      <c r="A39" s="621" t="s">
        <v>531</v>
      </c>
      <c r="B39" s="572"/>
      <c r="C39" s="572"/>
      <c r="D39" s="597"/>
      <c r="E39" s="623">
        <f ca="1">E38+F38</f>
        <v>36.229999999999997</v>
      </c>
      <c r="F39" s="625"/>
      <c r="G39" s="631">
        <f ca="1">G38+H38</f>
        <v>2.0099999999999998</v>
      </c>
      <c r="H39" s="632"/>
      <c r="I39" s="639"/>
    </row>
    <row r="40" spans="1:9" ht="15.4" x14ac:dyDescent="0.45">
      <c r="A40" s="596" t="s">
        <v>518</v>
      </c>
      <c r="B40" s="572"/>
      <c r="C40" s="572"/>
      <c r="D40" s="597">
        <f ca="1">' K3 PP'!O29/' K3 PP'!O23</f>
        <v>5.5300000000000002E-2</v>
      </c>
      <c r="E40" s="623">
        <f ca="1">D40*E33+D40*E35</f>
        <v>1.68</v>
      </c>
      <c r="F40" s="625"/>
      <c r="G40" s="631">
        <f ca="1">D40*G34</f>
        <v>0.09</v>
      </c>
      <c r="H40" s="632"/>
      <c r="I40" s="639">
        <f t="shared" ca="1" si="0"/>
        <v>1.77</v>
      </c>
    </row>
    <row r="41" spans="1:9" ht="15.4" x14ac:dyDescent="0.45">
      <c r="A41" s="622" t="s">
        <v>520</v>
      </c>
      <c r="B41" s="573"/>
      <c r="C41" s="573"/>
      <c r="D41" s="574">
        <f ca="1">Projekt!H179+Projekt!H198+Projekt!H211</f>
        <v>1.1046</v>
      </c>
      <c r="E41" s="627">
        <f ca="1">D41*E39</f>
        <v>40.020000000000003</v>
      </c>
      <c r="F41" s="628"/>
      <c r="G41" s="633">
        <f ca="1">D41*G39</f>
        <v>2.2200000000000002</v>
      </c>
      <c r="H41" s="634"/>
      <c r="I41" s="639">
        <f t="shared" ca="1" si="0"/>
        <v>42.24</v>
      </c>
    </row>
    <row r="42" spans="1:9" ht="15.4" x14ac:dyDescent="0.45">
      <c r="A42" s="593" t="s">
        <v>521</v>
      </c>
      <c r="B42" s="594"/>
      <c r="C42" s="594"/>
      <c r="D42" s="595"/>
      <c r="E42" s="629">
        <f ca="1">SUM(E39:E41)</f>
        <v>77.930000000000007</v>
      </c>
      <c r="F42" s="630"/>
      <c r="G42" s="635">
        <f ca="1">SUM(G39:G41)</f>
        <v>4.32</v>
      </c>
      <c r="H42" s="636"/>
      <c r="I42" s="641">
        <f t="shared" ca="1" si="0"/>
        <v>82.25</v>
      </c>
    </row>
    <row r="43" spans="1:9" ht="15.4" x14ac:dyDescent="0.45">
      <c r="A43" s="644" t="s">
        <v>58</v>
      </c>
      <c r="B43" s="645"/>
      <c r="C43" s="645"/>
      <c r="D43" s="646">
        <f ca="1">Projekt!F238</f>
        <v>0.18559999999999999</v>
      </c>
      <c r="E43" s="647">
        <f ca="1">D43*E42</f>
        <v>14.46</v>
      </c>
      <c r="F43" s="648"/>
      <c r="G43" s="647">
        <f ca="1">D43*G42</f>
        <v>0.8</v>
      </c>
      <c r="H43" s="649"/>
      <c r="I43" s="642">
        <f t="shared" ca="1" si="0"/>
        <v>15.26</v>
      </c>
    </row>
    <row r="44" spans="1:9" ht="15.4" x14ac:dyDescent="0.45">
      <c r="A44" s="650" t="s">
        <v>105</v>
      </c>
      <c r="B44" s="651"/>
      <c r="C44" s="651"/>
      <c r="D44" s="652">
        <f ca="1">IFERROR(' K3 PP'!M39/' K3 PP'!O33,0)</f>
        <v>0</v>
      </c>
      <c r="E44" s="653">
        <f ca="1">D44*E42</f>
        <v>0</v>
      </c>
      <c r="F44" s="654"/>
      <c r="G44" s="653">
        <f ca="1">D44*G42</f>
        <v>0</v>
      </c>
      <c r="H44" s="655"/>
      <c r="I44" s="642">
        <f t="shared" ca="1" si="0"/>
        <v>0</v>
      </c>
    </row>
    <row r="45" spans="1:9" ht="15.4" x14ac:dyDescent="0.45">
      <c r="A45" s="656" t="s">
        <v>522</v>
      </c>
      <c r="B45" s="657"/>
      <c r="C45" s="657"/>
      <c r="D45" s="658">
        <f>Projekt!G266</f>
        <v>0.25800000000000001</v>
      </c>
      <c r="E45" s="659">
        <f ca="1">D45*(E42+E43)</f>
        <v>23.84</v>
      </c>
      <c r="F45" s="660"/>
      <c r="G45" s="659">
        <f ca="1">D45*(G42+G43)</f>
        <v>1.32</v>
      </c>
      <c r="H45" s="661"/>
      <c r="I45" s="642">
        <f t="shared" ca="1" si="0"/>
        <v>25.16</v>
      </c>
    </row>
    <row r="46" spans="1:9" ht="15.4" x14ac:dyDescent="0.45">
      <c r="A46" s="656" t="s">
        <v>523</v>
      </c>
      <c r="B46" s="657"/>
      <c r="C46" s="657"/>
      <c r="D46" s="658">
        <f>Projekt!G267</f>
        <v>0.25800000000000001</v>
      </c>
      <c r="E46" s="659">
        <f ca="1">IFERROR(D46*E44,0)</f>
        <v>0</v>
      </c>
      <c r="F46" s="660"/>
      <c r="G46" s="659">
        <f ca="1">IFERROR(D46*G44,0)</f>
        <v>0</v>
      </c>
      <c r="H46" s="661"/>
      <c r="I46" s="643">
        <f t="shared" ca="1" si="0"/>
        <v>0</v>
      </c>
    </row>
    <row r="47" spans="1:9" ht="15.4" x14ac:dyDescent="0.45">
      <c r="A47" s="598" t="s">
        <v>67</v>
      </c>
      <c r="B47" s="599"/>
      <c r="C47" s="599"/>
      <c r="D47" s="599"/>
      <c r="E47" s="604">
        <f ca="1">SUM(E42:E46)</f>
        <v>116.23</v>
      </c>
      <c r="F47" s="605"/>
      <c r="G47" s="604">
        <f ca="1">SUM(G42:G46)</f>
        <v>6.44</v>
      </c>
      <c r="H47" s="605"/>
      <c r="I47" s="642">
        <f ca="1">SUM(I42:I46)</f>
        <v>122.67</v>
      </c>
    </row>
    <row r="48" spans="1:9" ht="15.75" x14ac:dyDescent="0.5">
      <c r="A48" s="598" t="s">
        <v>524</v>
      </c>
      <c r="B48" s="599"/>
      <c r="C48" s="599"/>
      <c r="D48" s="599"/>
      <c r="E48" s="600">
        <f ca="1">E47+G47</f>
        <v>122.67</v>
      </c>
      <c r="F48" s="600"/>
      <c r="G48" s="600"/>
      <c r="H48" s="600"/>
      <c r="I48" s="601"/>
    </row>
    <row r="49" spans="1:9" ht="15.4" x14ac:dyDescent="0.45">
      <c r="A49" s="598" t="s">
        <v>525</v>
      </c>
      <c r="B49" s="599"/>
      <c r="C49" s="599"/>
      <c r="D49" s="602">
        <f>Projekt!E43</f>
        <v>1.9</v>
      </c>
      <c r="E49" s="600">
        <f ca="1">E48/D49</f>
        <v>64.56</v>
      </c>
      <c r="F49" s="1977" t="s">
        <v>535</v>
      </c>
      <c r="G49" s="1977"/>
      <c r="H49" s="1977"/>
      <c r="I49" s="603">
        <f ca="1">' K3 PP'!Q45</f>
        <v>64</v>
      </c>
    </row>
    <row r="50" spans="1:9" ht="15.75" x14ac:dyDescent="0.5">
      <c r="A50" s="568"/>
      <c r="B50" s="559"/>
      <c r="C50" s="559"/>
      <c r="D50" s="570"/>
      <c r="E50" s="571"/>
      <c r="F50" s="559"/>
      <c r="G50" s="571"/>
      <c r="H50" s="559"/>
      <c r="I50" s="569"/>
    </row>
    <row r="51" spans="1:9" ht="15.75" x14ac:dyDescent="0.5">
      <c r="A51" s="577" t="s">
        <v>539</v>
      </c>
      <c r="B51" s="578"/>
      <c r="C51" s="578"/>
      <c r="D51" s="579"/>
      <c r="E51" s="580"/>
      <c r="F51" s="581"/>
      <c r="G51" s="1978" t="s">
        <v>536</v>
      </c>
      <c r="H51" s="1981" t="s">
        <v>541</v>
      </c>
      <c r="I51" s="569"/>
    </row>
    <row r="52" spans="1:9" ht="15.75" x14ac:dyDescent="0.5">
      <c r="A52" s="567"/>
      <c r="B52" s="559"/>
      <c r="C52" s="559"/>
      <c r="D52" s="570"/>
      <c r="E52" s="31"/>
      <c r="F52" s="582"/>
      <c r="G52" s="1979"/>
      <c r="H52" s="1982"/>
      <c r="I52" s="569"/>
    </row>
    <row r="53" spans="1:9" ht="15.75" x14ac:dyDescent="0.5">
      <c r="A53" s="567"/>
      <c r="B53" s="559"/>
      <c r="C53" s="559"/>
      <c r="D53" s="570"/>
      <c r="E53" s="31"/>
      <c r="F53" s="582"/>
      <c r="G53" s="1979"/>
      <c r="H53" s="1982"/>
      <c r="I53" s="569"/>
    </row>
    <row r="54" spans="1:9" ht="15.75" x14ac:dyDescent="0.5">
      <c r="A54" s="527"/>
      <c r="B54" s="528"/>
      <c r="C54" s="528"/>
      <c r="D54" s="583"/>
      <c r="E54" s="584"/>
      <c r="F54" s="585"/>
      <c r="G54" s="1980"/>
      <c r="H54" s="1983"/>
      <c r="I54" s="569"/>
    </row>
    <row r="55" spans="1:9" ht="15.75" x14ac:dyDescent="0.5">
      <c r="A55" s="577" t="s">
        <v>537</v>
      </c>
      <c r="B55" s="615"/>
      <c r="C55" s="615"/>
      <c r="D55" s="616"/>
      <c r="E55" s="617">
        <f ca="1">G55/G$55</f>
        <v>1</v>
      </c>
      <c r="F55" s="617">
        <f ca="1">E55</f>
        <v>1</v>
      </c>
      <c r="G55" s="618">
        <f ca="1">E33</f>
        <v>30.4</v>
      </c>
      <c r="H55" s="619">
        <f ca="1">G55/D$49</f>
        <v>16</v>
      </c>
      <c r="I55" s="569"/>
    </row>
    <row r="56" spans="1:9" ht="15.75" x14ac:dyDescent="0.5">
      <c r="A56" s="588" t="s">
        <v>538</v>
      </c>
      <c r="B56" s="560"/>
      <c r="C56" s="560"/>
      <c r="D56" s="31"/>
      <c r="E56" s="586">
        <f t="shared" ref="E56:E62" ca="1" si="1">G56/G$55</f>
        <v>0.247</v>
      </c>
      <c r="F56" s="586">
        <f t="shared" ref="F56:F61" ca="1" si="2">E56+F55</f>
        <v>1.2470000000000001</v>
      </c>
      <c r="G56" s="575">
        <f ca="1">E42-E41-E33</f>
        <v>7.51</v>
      </c>
      <c r="H56" s="589">
        <f ca="1">G56/D$49</f>
        <v>3.95</v>
      </c>
      <c r="I56" s="569"/>
    </row>
    <row r="57" spans="1:9" ht="15.75" x14ac:dyDescent="0.5">
      <c r="A57" s="588" t="s">
        <v>520</v>
      </c>
      <c r="B57" s="560"/>
      <c r="C57" s="560"/>
      <c r="D57" s="31"/>
      <c r="E57" s="586">
        <f t="shared" ca="1" si="1"/>
        <v>1.3164</v>
      </c>
      <c r="F57" s="586">
        <f t="shared" ca="1" si="2"/>
        <v>2.5634000000000001</v>
      </c>
      <c r="G57" s="575">
        <f ca="1">E41</f>
        <v>40.020000000000003</v>
      </c>
      <c r="H57" s="589">
        <f t="shared" ref="H57:H62" ca="1" si="3">G57/D$49</f>
        <v>21.06</v>
      </c>
      <c r="I57" s="569"/>
    </row>
    <row r="58" spans="1:9" ht="15.75" x14ac:dyDescent="0.5">
      <c r="A58" s="588" t="s">
        <v>205</v>
      </c>
      <c r="B58" s="560"/>
      <c r="C58" s="560"/>
      <c r="D58" s="570"/>
      <c r="E58" s="586">
        <f t="shared" ca="1" si="1"/>
        <v>0.1421</v>
      </c>
      <c r="F58" s="586">
        <f t="shared" ca="1" si="2"/>
        <v>2.7054999999999998</v>
      </c>
      <c r="G58" s="575">
        <f ca="1">G42</f>
        <v>4.32</v>
      </c>
      <c r="H58" s="589">
        <f t="shared" ca="1" si="3"/>
        <v>2.27</v>
      </c>
      <c r="I58" s="569"/>
    </row>
    <row r="59" spans="1:9" ht="15.75" x14ac:dyDescent="0.5">
      <c r="A59" s="588" t="s">
        <v>532</v>
      </c>
      <c r="B59" s="560"/>
      <c r="C59" s="560"/>
      <c r="D59" s="570"/>
      <c r="E59" s="586">
        <f t="shared" ca="1" si="1"/>
        <v>0.502</v>
      </c>
      <c r="F59" s="586">
        <f t="shared" ca="1" si="2"/>
        <v>3.2075</v>
      </c>
      <c r="G59" s="575">
        <f ca="1">E43+G43</f>
        <v>15.26</v>
      </c>
      <c r="H59" s="589">
        <f t="shared" ca="1" si="3"/>
        <v>8.0299999999999994</v>
      </c>
      <c r="I59" s="569"/>
    </row>
    <row r="60" spans="1:9" ht="15.75" x14ac:dyDescent="0.5">
      <c r="A60" s="588" t="s">
        <v>533</v>
      </c>
      <c r="B60" s="560"/>
      <c r="C60" s="560"/>
      <c r="D60" s="570"/>
      <c r="E60" s="586">
        <f t="shared" ca="1" si="1"/>
        <v>0</v>
      </c>
      <c r="F60" s="586">
        <f t="shared" ca="1" si="2"/>
        <v>3.2075</v>
      </c>
      <c r="G60" s="575">
        <f ca="1">E44+G44</f>
        <v>0</v>
      </c>
      <c r="H60" s="589">
        <f t="shared" ca="1" si="3"/>
        <v>0</v>
      </c>
      <c r="I60" s="569"/>
    </row>
    <row r="61" spans="1:9" ht="15.75" x14ac:dyDescent="0.5">
      <c r="A61" s="590" t="s">
        <v>534</v>
      </c>
      <c r="B61" s="528"/>
      <c r="C61" s="528"/>
      <c r="D61" s="583"/>
      <c r="E61" s="587">
        <f t="shared" ca="1" si="1"/>
        <v>0.8276</v>
      </c>
      <c r="F61" s="587">
        <f t="shared" ca="1" si="2"/>
        <v>4.0350999999999999</v>
      </c>
      <c r="G61" s="576">
        <f ca="1">E45+G45+E46+G46</f>
        <v>25.16</v>
      </c>
      <c r="H61" s="591">
        <f t="shared" ca="1" si="3"/>
        <v>13.24</v>
      </c>
      <c r="I61" s="569"/>
    </row>
    <row r="62" spans="1:9" ht="15.75" x14ac:dyDescent="0.5">
      <c r="A62" s="590" t="s">
        <v>67</v>
      </c>
      <c r="B62" s="584"/>
      <c r="C62" s="528"/>
      <c r="D62" s="528"/>
      <c r="E62" s="587">
        <f t="shared" ca="1" si="1"/>
        <v>4.0351999999999997</v>
      </c>
      <c r="F62" s="592"/>
      <c r="G62" s="576">
        <f ca="1">SUM(G55:G61)</f>
        <v>122.67</v>
      </c>
      <c r="H62" s="591">
        <f t="shared" ca="1" si="3"/>
        <v>64.56</v>
      </c>
      <c r="I62" s="569"/>
    </row>
    <row r="63" spans="1:9" ht="15.75" x14ac:dyDescent="0.5">
      <c r="A63" s="568"/>
      <c r="B63" s="559"/>
      <c r="C63" s="559"/>
      <c r="D63" s="559"/>
      <c r="E63" s="559"/>
      <c r="G63" s="559"/>
      <c r="H63" s="559"/>
      <c r="I63" s="569"/>
    </row>
    <row r="64" spans="1:9" ht="15.75" x14ac:dyDescent="0.5">
      <c r="A64" s="568"/>
      <c r="B64" s="560"/>
      <c r="C64" s="560"/>
      <c r="D64" s="560"/>
      <c r="E64" s="560"/>
      <c r="G64" s="560"/>
      <c r="H64" s="560"/>
      <c r="I64" s="569"/>
    </row>
    <row r="65" spans="1:9" ht="15.75" x14ac:dyDescent="0.5">
      <c r="A65" s="568"/>
      <c r="B65" s="560"/>
      <c r="C65" s="560"/>
      <c r="D65" s="560"/>
      <c r="E65" s="560"/>
      <c r="G65" s="560"/>
      <c r="H65" s="560"/>
      <c r="I65" s="569"/>
    </row>
    <row r="66" spans="1:9" ht="15.75" x14ac:dyDescent="0.5">
      <c r="A66" s="568"/>
      <c r="B66" s="560"/>
      <c r="C66" s="560"/>
      <c r="D66" s="560"/>
      <c r="E66" s="560"/>
      <c r="G66" s="560"/>
      <c r="H66" s="560"/>
      <c r="I66" s="569"/>
    </row>
    <row r="67" spans="1:9" ht="15.75" x14ac:dyDescent="0.5">
      <c r="A67" s="568"/>
      <c r="B67" s="560"/>
      <c r="C67" s="560"/>
      <c r="D67" s="560"/>
      <c r="E67" s="560"/>
      <c r="G67" s="560"/>
      <c r="H67" s="560"/>
      <c r="I67" s="569"/>
    </row>
    <row r="68" spans="1:9" ht="15.75" x14ac:dyDescent="0.5">
      <c r="A68" s="568"/>
      <c r="B68" s="560"/>
      <c r="C68" s="560"/>
      <c r="D68" s="560"/>
      <c r="E68" s="560"/>
      <c r="G68" s="560"/>
      <c r="H68" s="560"/>
      <c r="I68" s="569"/>
    </row>
    <row r="69" spans="1:9" ht="15.75" x14ac:dyDescent="0.5">
      <c r="A69" s="568"/>
      <c r="B69" s="560"/>
      <c r="C69" s="560"/>
      <c r="D69" s="560"/>
      <c r="E69" s="560"/>
      <c r="G69" s="560"/>
      <c r="H69" s="560"/>
      <c r="I69" s="569"/>
    </row>
    <row r="70" spans="1:9" ht="15.75" x14ac:dyDescent="0.5">
      <c r="A70" s="568"/>
      <c r="B70" s="560"/>
      <c r="C70" s="560"/>
      <c r="D70" s="560"/>
      <c r="E70" s="560"/>
      <c r="G70" s="560"/>
      <c r="H70" s="560"/>
      <c r="I70" s="569"/>
    </row>
    <row r="71" spans="1:9" ht="15.75" x14ac:dyDescent="0.5">
      <c r="A71" s="568"/>
      <c r="B71" s="560"/>
      <c r="C71" s="560"/>
      <c r="D71" s="560"/>
      <c r="E71" s="560"/>
      <c r="G71" s="560"/>
      <c r="H71" s="560"/>
      <c r="I71" s="569"/>
    </row>
    <row r="72" spans="1:9" ht="15.75" x14ac:dyDescent="0.5">
      <c r="A72" s="568"/>
      <c r="B72" s="560"/>
      <c r="C72" s="560"/>
      <c r="D72" s="560"/>
      <c r="E72" s="560"/>
      <c r="G72" s="560"/>
      <c r="H72" s="560"/>
      <c r="I72" s="569"/>
    </row>
    <row r="73" spans="1:9" ht="15.75" x14ac:dyDescent="0.5">
      <c r="A73" s="568"/>
      <c r="B73" s="560"/>
      <c r="C73" s="560"/>
      <c r="D73" s="560"/>
      <c r="E73" s="560"/>
      <c r="G73" s="560"/>
      <c r="H73" s="560"/>
      <c r="I73" s="569"/>
    </row>
    <row r="74" spans="1:9" ht="15.75" x14ac:dyDescent="0.5">
      <c r="A74" s="568"/>
      <c r="B74" s="560"/>
      <c r="C74" s="560"/>
      <c r="D74" s="560"/>
      <c r="E74" s="560"/>
      <c r="G74" s="560"/>
      <c r="H74" s="560"/>
      <c r="I74" s="569"/>
    </row>
    <row r="75" spans="1:9" ht="15.75" x14ac:dyDescent="0.5">
      <c r="A75" s="568"/>
      <c r="B75" s="560"/>
      <c r="C75" s="560"/>
      <c r="D75" s="560"/>
      <c r="E75" s="560"/>
      <c r="G75" s="560"/>
      <c r="H75" s="560"/>
      <c r="I75" s="569"/>
    </row>
    <row r="76" spans="1:9" ht="15.75" x14ac:dyDescent="0.5">
      <c r="A76" s="568"/>
      <c r="B76" s="560"/>
      <c r="C76" s="560"/>
      <c r="D76" s="560"/>
      <c r="E76" s="560"/>
      <c r="G76" s="560"/>
      <c r="H76" s="560"/>
      <c r="I76" s="569"/>
    </row>
    <row r="77" spans="1:9" ht="15.75" x14ac:dyDescent="0.5">
      <c r="A77" s="568"/>
      <c r="B77" s="560"/>
      <c r="C77" s="560"/>
      <c r="D77" s="560"/>
      <c r="E77" s="560"/>
      <c r="G77" s="560"/>
      <c r="H77" s="560"/>
      <c r="I77" s="569"/>
    </row>
    <row r="78" spans="1:9" ht="15" customHeight="1" x14ac:dyDescent="0.4">
      <c r="A78" s="1970" t="s">
        <v>448</v>
      </c>
      <c r="B78" s="1971"/>
      <c r="C78" s="1971"/>
      <c r="D78" s="1971"/>
      <c r="E78" s="1971"/>
      <c r="F78" s="1971"/>
      <c r="G78" s="1971"/>
      <c r="H78" s="1971"/>
      <c r="I78" s="1972"/>
    </row>
    <row r="79" spans="1:9" x14ac:dyDescent="0.4">
      <c r="A79" s="1961" t="s">
        <v>447</v>
      </c>
      <c r="B79" s="1962"/>
      <c r="C79" s="1962"/>
      <c r="D79" s="1962"/>
      <c r="E79" s="1962"/>
      <c r="F79" s="1962"/>
      <c r="G79" s="1962"/>
      <c r="H79" s="1962"/>
      <c r="I79" s="1963"/>
    </row>
    <row r="80" spans="1:9" x14ac:dyDescent="0.4">
      <c r="A80" s="1964"/>
      <c r="B80" s="1965"/>
      <c r="C80" s="1965"/>
      <c r="D80" s="1965"/>
      <c r="E80" s="1965"/>
      <c r="F80" s="1965"/>
      <c r="G80" s="1965"/>
      <c r="H80" s="1965"/>
      <c r="I80" s="1966"/>
    </row>
    <row r="81" spans="1:9" x14ac:dyDescent="0.4">
      <c r="A81" s="1964"/>
      <c r="B81" s="1965"/>
      <c r="C81" s="1965"/>
      <c r="D81" s="1965"/>
      <c r="E81" s="1965"/>
      <c r="F81" s="1965"/>
      <c r="G81" s="1965"/>
      <c r="H81" s="1965"/>
      <c r="I81" s="1966"/>
    </row>
    <row r="82" spans="1:9" x14ac:dyDescent="0.4">
      <c r="A82" s="1964"/>
      <c r="B82" s="1965"/>
      <c r="C82" s="1965"/>
      <c r="D82" s="1965"/>
      <c r="E82" s="1965"/>
      <c r="F82" s="1965"/>
      <c r="G82" s="1965"/>
      <c r="H82" s="1965"/>
      <c r="I82" s="1966"/>
    </row>
    <row r="83" spans="1:9" x14ac:dyDescent="0.4">
      <c r="A83" s="1964"/>
      <c r="B83" s="1965"/>
      <c r="C83" s="1965"/>
      <c r="D83" s="1965"/>
      <c r="E83" s="1965"/>
      <c r="F83" s="1965"/>
      <c r="G83" s="1965"/>
      <c r="H83" s="1965"/>
      <c r="I83" s="1966"/>
    </row>
    <row r="84" spans="1:9" x14ac:dyDescent="0.4">
      <c r="A84" s="1964"/>
      <c r="B84" s="1965"/>
      <c r="C84" s="1965"/>
      <c r="D84" s="1965"/>
      <c r="E84" s="1965"/>
      <c r="F84" s="1965"/>
      <c r="G84" s="1965"/>
      <c r="H84" s="1965"/>
      <c r="I84" s="1966"/>
    </row>
    <row r="85" spans="1:9" x14ac:dyDescent="0.4">
      <c r="A85" s="1964"/>
      <c r="B85" s="1965"/>
      <c r="C85" s="1965"/>
      <c r="D85" s="1965"/>
      <c r="E85" s="1965"/>
      <c r="F85" s="1965"/>
      <c r="G85" s="1965"/>
      <c r="H85" s="1965"/>
      <c r="I85" s="1966"/>
    </row>
    <row r="86" spans="1:9" x14ac:dyDescent="0.4">
      <c r="A86" s="1964"/>
      <c r="B86" s="1965"/>
      <c r="C86" s="1965"/>
      <c r="D86" s="1965"/>
      <c r="E86" s="1965"/>
      <c r="F86" s="1965"/>
      <c r="G86" s="1965"/>
      <c r="H86" s="1965"/>
      <c r="I86" s="1966"/>
    </row>
    <row r="87" spans="1:9" x14ac:dyDescent="0.4">
      <c r="A87" s="1964"/>
      <c r="B87" s="1965"/>
      <c r="C87" s="1965"/>
      <c r="D87" s="1965"/>
      <c r="E87" s="1965"/>
      <c r="F87" s="1965"/>
      <c r="G87" s="1965"/>
      <c r="H87" s="1965"/>
      <c r="I87" s="1966"/>
    </row>
    <row r="88" spans="1:9" x14ac:dyDescent="0.4">
      <c r="A88" s="1964"/>
      <c r="B88" s="1965"/>
      <c r="C88" s="1965"/>
      <c r="D88" s="1965"/>
      <c r="E88" s="1965"/>
      <c r="F88" s="1965"/>
      <c r="G88" s="1965"/>
      <c r="H88" s="1965"/>
      <c r="I88" s="1966"/>
    </row>
    <row r="89" spans="1:9" x14ac:dyDescent="0.4">
      <c r="A89" s="1967"/>
      <c r="B89" s="1968"/>
      <c r="C89" s="1968"/>
      <c r="D89" s="1968"/>
      <c r="E89" s="1968"/>
      <c r="F89" s="1968"/>
      <c r="G89" s="1968"/>
      <c r="H89" s="1968"/>
      <c r="I89" s="1969"/>
    </row>
  </sheetData>
  <sheetProtection password="B984" sheet="1" objects="1" scenarios="1" formatColumns="0" selectLockedCells="1"/>
  <mergeCells count="24">
    <mergeCell ref="A79:I89"/>
    <mergeCell ref="B24:I24"/>
    <mergeCell ref="B25:I25"/>
    <mergeCell ref="B26:I26"/>
    <mergeCell ref="B27:I27"/>
    <mergeCell ref="A78:I78"/>
    <mergeCell ref="E31:F31"/>
    <mergeCell ref="G31:H31"/>
    <mergeCell ref="F49:H49"/>
    <mergeCell ref="G51:G54"/>
    <mergeCell ref="H51:H54"/>
    <mergeCell ref="A31:D31"/>
    <mergeCell ref="B23:I23"/>
    <mergeCell ref="B12:I12"/>
    <mergeCell ref="B13:I13"/>
    <mergeCell ref="B14:I14"/>
    <mergeCell ref="B15:I15"/>
    <mergeCell ref="B16:I16"/>
    <mergeCell ref="B17:I17"/>
    <mergeCell ref="B18:I18"/>
    <mergeCell ref="B19:I19"/>
    <mergeCell ref="B20:I20"/>
    <mergeCell ref="B21:I21"/>
    <mergeCell ref="B22:I22"/>
  </mergeCells>
  <conditionalFormatting sqref="E55:E62">
    <cfRule type="dataBar" priority="2">
      <dataBar>
        <cfvo type="min"/>
        <cfvo type="max"/>
        <color rgb="FFFFB628"/>
      </dataBar>
      <extLst>
        <ext xmlns:x14="http://schemas.microsoft.com/office/spreadsheetml/2009/9/main" uri="{B025F937-C7B1-47D3-B67F-A62EFF666E3E}">
          <x14:id>{FD0640FF-B27E-4627-B3FE-8C2CC34875FB}</x14:id>
        </ext>
      </extLst>
    </cfRule>
  </conditionalFormatting>
  <conditionalFormatting sqref="F55:F62">
    <cfRule type="dataBar" priority="1">
      <dataBar>
        <cfvo type="min"/>
        <cfvo type="max"/>
        <color rgb="FFFFB628"/>
      </dataBar>
      <extLst>
        <ext xmlns:x14="http://schemas.microsoft.com/office/spreadsheetml/2009/9/main" uri="{B025F937-C7B1-47D3-B67F-A62EFF666E3E}">
          <x14:id>{17F4A327-40B4-43FC-8456-AD865277F3B1}</x14:id>
        </ext>
      </extLst>
    </cfRule>
  </conditionalFormatting>
  <pageMargins left="0.7" right="0.7" top="0.78740157499999996" bottom="0.78740157499999996"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D0640FF-B27E-4627-B3FE-8C2CC34875FB}">
            <x14:dataBar minLength="0" maxLength="100" border="1" negativeBarBorderColorSameAsPositive="0">
              <x14:cfvo type="autoMin"/>
              <x14:cfvo type="autoMax"/>
              <x14:borderColor rgb="FFFFB628"/>
              <x14:negativeFillColor rgb="FFFF0000"/>
              <x14:negativeBorderColor rgb="FFFF0000"/>
              <x14:axisColor rgb="FF000000"/>
            </x14:dataBar>
          </x14:cfRule>
          <xm:sqref>E55:E62</xm:sqref>
        </x14:conditionalFormatting>
        <x14:conditionalFormatting xmlns:xm="http://schemas.microsoft.com/office/excel/2006/main">
          <x14:cfRule type="dataBar" id="{17F4A327-40B4-43FC-8456-AD865277F3B1}">
            <x14:dataBar minLength="0" maxLength="100" border="1" negativeBarBorderColorSameAsPositive="0">
              <x14:cfvo type="autoMin"/>
              <x14:cfvo type="autoMax"/>
              <x14:borderColor rgb="FFFFB628"/>
              <x14:negativeFillColor rgb="FFFF0000"/>
              <x14:negativeBorderColor rgb="FFFF0000"/>
              <x14:axisColor rgb="FF000000"/>
            </x14:dataBar>
          </x14:cfRule>
          <xm:sqref>F55:F62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N27"/>
  <sheetViews>
    <sheetView showGridLines="0" zoomScaleNormal="100" workbookViewId="0">
      <selection activeCell="K11" sqref="K11"/>
    </sheetView>
  </sheetViews>
  <sheetFormatPr baseColWidth="10" defaultColWidth="10.6640625" defaultRowHeight="13.15" x14ac:dyDescent="0.4"/>
  <cols>
    <col min="1" max="1" width="2.21875" style="21" customWidth="1"/>
    <col min="2" max="4" width="6.88671875" style="21" customWidth="1"/>
    <col min="5" max="6" width="6.109375" style="21" customWidth="1"/>
    <col min="7" max="7" width="6.6640625" style="21" customWidth="1"/>
    <col min="8" max="9" width="6.109375" style="21" customWidth="1"/>
    <col min="10" max="10" width="6.6640625" style="21" customWidth="1"/>
    <col min="11" max="11" width="6.109375" style="21" customWidth="1"/>
    <col min="12" max="12" width="7.5" style="21" customWidth="1"/>
    <col min="13" max="13" width="3.88671875" style="21" customWidth="1"/>
    <col min="14" max="16384" width="10.6640625" style="21"/>
  </cols>
  <sheetData>
    <row r="1" spans="1:14" ht="18" x14ac:dyDescent="0.55000000000000004">
      <c r="A1" s="16" t="s">
        <v>114</v>
      </c>
      <c r="B1" s="32"/>
      <c r="C1" s="32"/>
      <c r="D1" s="32"/>
      <c r="E1" s="20" t="s">
        <v>31</v>
      </c>
      <c r="F1" s="2000" t="str">
        <f>Projekt!D10</f>
        <v xml:space="preserve">Musterbaustelle </v>
      </c>
      <c r="G1" s="2001"/>
      <c r="H1" s="2001"/>
      <c r="I1" s="2001"/>
      <c r="J1" s="2001"/>
      <c r="K1" s="2001"/>
      <c r="L1" s="2001"/>
    </row>
    <row r="2" spans="1:14" ht="17.45" customHeight="1" x14ac:dyDescent="0.4">
      <c r="A2" s="1989" t="str">
        <f ca="1">Projekt!D7</f>
        <v>Nur als Testversion nutzbar!</v>
      </c>
      <c r="B2" s="1990"/>
      <c r="C2" s="1990"/>
      <c r="D2" s="1990"/>
      <c r="E2" s="1991"/>
      <c r="F2" s="2000"/>
      <c r="G2" s="2001"/>
      <c r="H2" s="2001"/>
      <c r="I2" s="2002"/>
      <c r="J2" s="2002"/>
      <c r="K2" s="2002"/>
      <c r="L2" s="2002"/>
    </row>
    <row r="3" spans="1:14" ht="17.45" customHeight="1" x14ac:dyDescent="0.4">
      <c r="A3" s="1992" t="str">
        <f>IF(Projekt!D8&lt;&gt;0,Projekt!D8,"")</f>
        <v>Musterstraße</v>
      </c>
      <c r="B3" s="1993"/>
      <c r="C3" s="1993"/>
      <c r="D3" s="1993"/>
      <c r="E3" s="1994"/>
      <c r="F3" s="18" t="s">
        <v>252</v>
      </c>
      <c r="G3" s="2042" t="str">
        <f>Projekt!B14</f>
        <v>Musterbaustelle</v>
      </c>
      <c r="H3" s="2043"/>
      <c r="I3" s="2045" t="s">
        <v>1</v>
      </c>
      <c r="J3" s="2046"/>
      <c r="K3" s="2038">
        <f>Projekt!F14</f>
        <v>45047</v>
      </c>
      <c r="L3" s="2039"/>
    </row>
    <row r="4" spans="1:14" ht="17.45" customHeight="1" thickBot="1" x14ac:dyDescent="0.45">
      <c r="A4" s="1995" t="str">
        <f>IF(Projekt!D9&lt;&gt;0,Projekt!D9,"")</f>
        <v/>
      </c>
      <c r="B4" s="1996"/>
      <c r="C4" s="1996"/>
      <c r="D4" s="1996"/>
      <c r="E4" s="1997"/>
      <c r="F4" s="19" t="s">
        <v>253</v>
      </c>
      <c r="G4" s="2005" t="str">
        <f>Projekt!B15</f>
        <v>xxx</v>
      </c>
      <c r="H4" s="2005"/>
      <c r="I4" s="2044" t="s">
        <v>115</v>
      </c>
      <c r="J4" s="2044"/>
      <c r="K4" s="2044"/>
      <c r="L4" s="2044"/>
    </row>
    <row r="5" spans="1:14" ht="22.9" customHeight="1" x14ac:dyDescent="0.4">
      <c r="A5" s="2003"/>
      <c r="B5" s="2006" t="s">
        <v>70</v>
      </c>
      <c r="C5" s="2007"/>
      <c r="D5" s="2006" t="s">
        <v>364</v>
      </c>
      <c r="E5" s="1998"/>
      <c r="F5" s="1999"/>
      <c r="G5" s="2003" t="s">
        <v>117</v>
      </c>
      <c r="H5" s="2006" t="s">
        <v>118</v>
      </c>
      <c r="I5" s="2007"/>
      <c r="J5" s="2003" t="s">
        <v>72</v>
      </c>
      <c r="K5" s="2006" t="s">
        <v>73</v>
      </c>
      <c r="L5" s="2007"/>
    </row>
    <row r="6" spans="1:14" ht="36.4" customHeight="1" x14ac:dyDescent="0.4">
      <c r="A6" s="2003"/>
      <c r="B6" s="2008"/>
      <c r="C6" s="2009"/>
      <c r="D6" s="2008"/>
      <c r="E6" s="2040" t="s">
        <v>548</v>
      </c>
      <c r="F6" s="2041"/>
      <c r="G6" s="2004"/>
      <c r="H6" s="2008"/>
      <c r="I6" s="2009"/>
      <c r="J6" s="2004"/>
      <c r="K6" s="2008"/>
      <c r="L6" s="2009"/>
    </row>
    <row r="7" spans="1:14" ht="13.15" customHeight="1" x14ac:dyDescent="0.4">
      <c r="A7" s="2003"/>
      <c r="B7" s="2010"/>
      <c r="C7" s="2011"/>
      <c r="D7" s="2012" t="s">
        <v>120</v>
      </c>
      <c r="E7" s="2012" t="s">
        <v>258</v>
      </c>
      <c r="F7" s="17" t="s">
        <v>77</v>
      </c>
      <c r="G7" s="17" t="s">
        <v>77</v>
      </c>
      <c r="H7" s="2012" t="s">
        <v>261</v>
      </c>
      <c r="I7" s="17" t="s">
        <v>77</v>
      </c>
      <c r="J7" s="17" t="s">
        <v>77</v>
      </c>
      <c r="K7" s="2012" t="s">
        <v>264</v>
      </c>
      <c r="L7" s="17" t="s">
        <v>77</v>
      </c>
    </row>
    <row r="8" spans="1:14" x14ac:dyDescent="0.4">
      <c r="A8" s="2004"/>
      <c r="B8" s="2008"/>
      <c r="C8" s="2009"/>
      <c r="D8" s="2013"/>
      <c r="E8" s="2013"/>
      <c r="F8" s="24" t="s">
        <v>259</v>
      </c>
      <c r="G8" s="24" t="s">
        <v>260</v>
      </c>
      <c r="H8" s="2013"/>
      <c r="I8" s="24" t="s">
        <v>262</v>
      </c>
      <c r="J8" s="24" t="s">
        <v>263</v>
      </c>
      <c r="K8" s="2013"/>
      <c r="L8" s="24" t="s">
        <v>265</v>
      </c>
    </row>
    <row r="9" spans="1:14" ht="13.5" thickBot="1" x14ac:dyDescent="0.45">
      <c r="A9" s="447" t="s">
        <v>10</v>
      </c>
      <c r="B9" s="1987" t="s">
        <v>11</v>
      </c>
      <c r="C9" s="1987"/>
      <c r="D9" s="447" t="s">
        <v>257</v>
      </c>
      <c r="E9" s="447" t="s">
        <v>12</v>
      </c>
      <c r="F9" s="447" t="s">
        <v>13</v>
      </c>
      <c r="G9" s="447" t="s">
        <v>14</v>
      </c>
      <c r="H9" s="447" t="s">
        <v>15</v>
      </c>
      <c r="I9" s="447" t="s">
        <v>16</v>
      </c>
      <c r="J9" s="447" t="s">
        <v>0</v>
      </c>
      <c r="K9" s="447" t="s">
        <v>17</v>
      </c>
      <c r="L9" s="447" t="s">
        <v>18</v>
      </c>
    </row>
    <row r="10" spans="1:14" ht="24" customHeight="1" x14ac:dyDescent="0.4">
      <c r="A10" s="25">
        <v>1</v>
      </c>
      <c r="B10" s="1988" t="s">
        <v>683</v>
      </c>
      <c r="C10" s="1988"/>
      <c r="D10" s="26">
        <v>1</v>
      </c>
      <c r="E10" s="700">
        <f>'K2a Z f ...'!K23</f>
        <v>0</v>
      </c>
      <c r="F10" s="697">
        <f t="shared" ref="F10:F15" si="0">E10*D10</f>
        <v>0</v>
      </c>
      <c r="G10" s="697">
        <f t="shared" ref="G10:G15" si="1">F10+D10</f>
        <v>1</v>
      </c>
      <c r="H10" s="705">
        <v>0.15</v>
      </c>
      <c r="I10" s="697">
        <f t="shared" ref="I10:I15" si="2">G10*H10</f>
        <v>0.15</v>
      </c>
      <c r="J10" s="697">
        <f t="shared" ref="J10:J15" si="3">I10+G10</f>
        <v>1.1499999999999999</v>
      </c>
      <c r="K10" s="705">
        <v>1.29E-2</v>
      </c>
      <c r="L10" s="697">
        <f t="shared" ref="L10:L15" si="4">J10*K10</f>
        <v>1.4840000000000001E-2</v>
      </c>
    </row>
    <row r="11" spans="1:14" ht="24" customHeight="1" x14ac:dyDescent="0.4">
      <c r="A11" s="22">
        <v>2</v>
      </c>
      <c r="B11" s="1988"/>
      <c r="C11" s="1988"/>
      <c r="D11" s="23">
        <v>1</v>
      </c>
      <c r="E11" s="700">
        <f>'K2a Z f ...'!K24</f>
        <v>0</v>
      </c>
      <c r="F11" s="697">
        <f t="shared" si="0"/>
        <v>0</v>
      </c>
      <c r="G11" s="697">
        <f t="shared" si="1"/>
        <v>1</v>
      </c>
      <c r="H11" s="705"/>
      <c r="I11" s="697">
        <f t="shared" si="2"/>
        <v>0</v>
      </c>
      <c r="J11" s="697">
        <f t="shared" si="3"/>
        <v>1</v>
      </c>
      <c r="K11" s="705"/>
      <c r="L11" s="697">
        <f t="shared" si="4"/>
        <v>0</v>
      </c>
    </row>
    <row r="12" spans="1:14" ht="24" customHeight="1" x14ac:dyDescent="0.4">
      <c r="A12" s="22">
        <v>3</v>
      </c>
      <c r="B12" s="1988"/>
      <c r="C12" s="1988"/>
      <c r="D12" s="23">
        <v>1</v>
      </c>
      <c r="E12" s="700">
        <f>'K2a Z f ...'!K25</f>
        <v>0</v>
      </c>
      <c r="F12" s="697">
        <f t="shared" si="0"/>
        <v>0</v>
      </c>
      <c r="G12" s="697">
        <f t="shared" si="1"/>
        <v>1</v>
      </c>
      <c r="H12" s="705"/>
      <c r="I12" s="697">
        <f t="shared" si="2"/>
        <v>0</v>
      </c>
      <c r="J12" s="697">
        <f t="shared" si="3"/>
        <v>1</v>
      </c>
      <c r="K12" s="705"/>
      <c r="L12" s="697">
        <f t="shared" si="4"/>
        <v>0</v>
      </c>
    </row>
    <row r="13" spans="1:14" ht="24" customHeight="1" x14ac:dyDescent="0.4">
      <c r="A13" s="22">
        <v>4</v>
      </c>
      <c r="B13" s="1988"/>
      <c r="C13" s="1988"/>
      <c r="D13" s="23">
        <v>1</v>
      </c>
      <c r="E13" s="700">
        <f>'K2a Z f ...'!K26</f>
        <v>0</v>
      </c>
      <c r="F13" s="697">
        <f t="shared" si="0"/>
        <v>0</v>
      </c>
      <c r="G13" s="697">
        <f t="shared" si="1"/>
        <v>1</v>
      </c>
      <c r="H13" s="705"/>
      <c r="I13" s="697">
        <f t="shared" si="2"/>
        <v>0</v>
      </c>
      <c r="J13" s="697">
        <f t="shared" si="3"/>
        <v>1</v>
      </c>
      <c r="K13" s="705"/>
      <c r="L13" s="697">
        <f t="shared" si="4"/>
        <v>0</v>
      </c>
    </row>
    <row r="14" spans="1:14" ht="24" customHeight="1" x14ac:dyDescent="0.4">
      <c r="A14" s="22">
        <v>5</v>
      </c>
      <c r="B14" s="1988"/>
      <c r="C14" s="1988"/>
      <c r="D14" s="23">
        <v>1</v>
      </c>
      <c r="E14" s="700">
        <f>'K2a Z f ...'!K27</f>
        <v>0</v>
      </c>
      <c r="F14" s="697">
        <f t="shared" si="0"/>
        <v>0</v>
      </c>
      <c r="G14" s="697">
        <f t="shared" si="1"/>
        <v>1</v>
      </c>
      <c r="H14" s="705"/>
      <c r="I14" s="697">
        <f t="shared" si="2"/>
        <v>0</v>
      </c>
      <c r="J14" s="697">
        <f t="shared" si="3"/>
        <v>1</v>
      </c>
      <c r="K14" s="705"/>
      <c r="L14" s="697">
        <f t="shared" si="4"/>
        <v>0</v>
      </c>
    </row>
    <row r="15" spans="1:14" ht="24" customHeight="1" thickBot="1" x14ac:dyDescent="0.45">
      <c r="A15" s="22">
        <v>6</v>
      </c>
      <c r="B15" s="1988"/>
      <c r="C15" s="1988"/>
      <c r="D15" s="23">
        <v>1</v>
      </c>
      <c r="E15" s="700">
        <f>'K2a Z f ...'!K28</f>
        <v>0</v>
      </c>
      <c r="F15" s="697">
        <f t="shared" si="0"/>
        <v>0</v>
      </c>
      <c r="G15" s="697">
        <f t="shared" si="1"/>
        <v>1</v>
      </c>
      <c r="H15" s="1181"/>
      <c r="I15" s="698">
        <f t="shared" si="2"/>
        <v>0</v>
      </c>
      <c r="J15" s="698">
        <f t="shared" si="3"/>
        <v>1</v>
      </c>
      <c r="K15" s="1181"/>
      <c r="L15" s="698">
        <f t="shared" si="4"/>
        <v>0</v>
      </c>
    </row>
    <row r="16" spans="1:14" ht="34.5" customHeight="1" x14ac:dyDescent="0.4">
      <c r="A16" s="2014"/>
      <c r="B16" s="2014" t="s">
        <v>74</v>
      </c>
      <c r="C16" s="2010" t="s">
        <v>75</v>
      </c>
      <c r="D16" s="2011"/>
      <c r="E16" s="2010" t="s">
        <v>76</v>
      </c>
      <c r="F16" s="2011"/>
      <c r="G16" s="2010" t="s">
        <v>119</v>
      </c>
      <c r="H16" s="2051" t="s">
        <v>116</v>
      </c>
      <c r="I16" s="2052"/>
      <c r="J16" s="2052"/>
      <c r="K16" s="2052"/>
      <c r="L16" s="2053"/>
      <c r="N16" s="2047" t="s">
        <v>599</v>
      </c>
    </row>
    <row r="17" spans="1:14" ht="25.35" customHeight="1" x14ac:dyDescent="0.4">
      <c r="A17" s="2003"/>
      <c r="B17" s="2004"/>
      <c r="C17" s="2008"/>
      <c r="D17" s="2009"/>
      <c r="E17" s="2008"/>
      <c r="F17" s="2009"/>
      <c r="G17" s="2008"/>
      <c r="H17" s="2054"/>
      <c r="I17" s="2055"/>
      <c r="J17" s="2055"/>
      <c r="K17" s="2055"/>
      <c r="L17" s="2056"/>
      <c r="N17" s="2048"/>
    </row>
    <row r="18" spans="1:14" ht="15" customHeight="1" x14ac:dyDescent="0.4">
      <c r="A18" s="2003"/>
      <c r="B18" s="17" t="s">
        <v>77</v>
      </c>
      <c r="C18" s="2012" t="s">
        <v>267</v>
      </c>
      <c r="D18" s="17" t="s">
        <v>77</v>
      </c>
      <c r="E18" s="2012" t="s">
        <v>267</v>
      </c>
      <c r="F18" s="17" t="s">
        <v>77</v>
      </c>
      <c r="G18" s="220" t="s">
        <v>77</v>
      </c>
      <c r="H18" s="2059"/>
      <c r="I18" s="2060"/>
      <c r="J18" s="2060"/>
      <c r="K18" s="2060"/>
      <c r="L18" s="451" t="s">
        <v>78</v>
      </c>
      <c r="N18" s="2049" t="str">
        <f ca="1">IFERROR(' K3 PP'!N45,"Noch nicht errechenbar!")</f>
        <v>64,00 €/Std</v>
      </c>
    </row>
    <row r="19" spans="1:14" ht="15" customHeight="1" x14ac:dyDescent="0.4">
      <c r="A19" s="2003"/>
      <c r="B19" s="24" t="s">
        <v>266</v>
      </c>
      <c r="C19" s="2013"/>
      <c r="D19" s="24" t="s">
        <v>268</v>
      </c>
      <c r="E19" s="2013"/>
      <c r="F19" s="24" t="s">
        <v>269</v>
      </c>
      <c r="G19" s="261" t="s">
        <v>270</v>
      </c>
      <c r="H19" s="2059"/>
      <c r="I19" s="2060"/>
      <c r="J19" s="2060"/>
      <c r="K19" s="2060"/>
      <c r="L19" s="262" t="s">
        <v>271</v>
      </c>
      <c r="N19" s="2050"/>
    </row>
    <row r="20" spans="1:14" ht="15.4" customHeight="1" thickBot="1" x14ac:dyDescent="0.45">
      <c r="A20" s="2015"/>
      <c r="B20" s="447" t="s">
        <v>19</v>
      </c>
      <c r="C20" s="447" t="s">
        <v>20</v>
      </c>
      <c r="D20" s="447" t="s">
        <v>24</v>
      </c>
      <c r="E20" s="447" t="s">
        <v>4</v>
      </c>
      <c r="F20" s="447" t="s">
        <v>5</v>
      </c>
      <c r="G20" s="62" t="s">
        <v>6</v>
      </c>
      <c r="H20" s="2057" t="s">
        <v>282</v>
      </c>
      <c r="I20" s="2058"/>
      <c r="J20" s="2058"/>
      <c r="K20" s="2058"/>
      <c r="L20" s="937" t="s">
        <v>281</v>
      </c>
      <c r="N20" s="2037"/>
    </row>
    <row r="21" spans="1:14" ht="24.4" customHeight="1" thickBot="1" x14ac:dyDescent="0.45">
      <c r="A21" s="25">
        <v>1</v>
      </c>
      <c r="B21" s="697">
        <f t="shared" ref="B21:B26" si="5">L10+J10</f>
        <v>1.1648400000000001</v>
      </c>
      <c r="C21" s="705">
        <v>0.03</v>
      </c>
      <c r="D21" s="697">
        <f t="shared" ref="D21:D26" si="6">B21*C21</f>
        <v>3.4950000000000002E-2</v>
      </c>
      <c r="E21" s="705">
        <v>0.05</v>
      </c>
      <c r="F21" s="697">
        <f t="shared" ref="F21:F26" si="7">B21*E21</f>
        <v>5.824E-2</v>
      </c>
      <c r="G21" s="699">
        <f t="shared" ref="G21:G26" si="8">B21+D21+F21</f>
        <v>1.25803</v>
      </c>
      <c r="H21" s="2034" t="str">
        <f t="shared" ref="H21:H26" si="9">IF(B10=0,"",B10)</f>
        <v>Alle Kostenarten</v>
      </c>
      <c r="I21" s="2035"/>
      <c r="J21" s="2035"/>
      <c r="K21" s="2036"/>
      <c r="L21" s="938">
        <f t="shared" ref="L21:L26" si="10">IF(H21&lt;&gt;"",G21-D10,"")</f>
        <v>0.25802999999999998</v>
      </c>
      <c r="N21" s="2037"/>
    </row>
    <row r="22" spans="1:14" ht="24.4" customHeight="1" thickBot="1" x14ac:dyDescent="0.45">
      <c r="A22" s="22">
        <v>2</v>
      </c>
      <c r="B22" s="697">
        <f t="shared" si="5"/>
        <v>1</v>
      </c>
      <c r="C22" s="705"/>
      <c r="D22" s="697">
        <f t="shared" si="6"/>
        <v>0</v>
      </c>
      <c r="E22" s="705"/>
      <c r="F22" s="697">
        <f t="shared" si="7"/>
        <v>0</v>
      </c>
      <c r="G22" s="699">
        <f t="shared" si="8"/>
        <v>1</v>
      </c>
      <c r="H22" s="2019" t="str">
        <f t="shared" si="9"/>
        <v/>
      </c>
      <c r="I22" s="2020"/>
      <c r="J22" s="2020"/>
      <c r="K22" s="2021"/>
      <c r="L22" s="701" t="str">
        <f t="shared" si="10"/>
        <v/>
      </c>
      <c r="N22" s="1016"/>
    </row>
    <row r="23" spans="1:14" ht="24.4" customHeight="1" thickBot="1" x14ac:dyDescent="0.45">
      <c r="A23" s="22">
        <v>3</v>
      </c>
      <c r="B23" s="697">
        <f t="shared" si="5"/>
        <v>1</v>
      </c>
      <c r="C23" s="705"/>
      <c r="D23" s="697">
        <f t="shared" si="6"/>
        <v>0</v>
      </c>
      <c r="E23" s="705"/>
      <c r="F23" s="697">
        <f t="shared" si="7"/>
        <v>0</v>
      </c>
      <c r="G23" s="699">
        <f t="shared" si="8"/>
        <v>1</v>
      </c>
      <c r="H23" s="2016" t="str">
        <f t="shared" si="9"/>
        <v/>
      </c>
      <c r="I23" s="2017"/>
      <c r="J23" s="2017"/>
      <c r="K23" s="2018"/>
      <c r="L23" s="702" t="str">
        <f t="shared" si="10"/>
        <v/>
      </c>
      <c r="N23" s="1017"/>
    </row>
    <row r="24" spans="1:14" ht="24.4" customHeight="1" thickBot="1" x14ac:dyDescent="0.45">
      <c r="A24" s="22">
        <v>4</v>
      </c>
      <c r="B24" s="697">
        <f t="shared" si="5"/>
        <v>1</v>
      </c>
      <c r="C24" s="705"/>
      <c r="D24" s="697">
        <f t="shared" si="6"/>
        <v>0</v>
      </c>
      <c r="E24" s="705"/>
      <c r="F24" s="697">
        <f t="shared" si="7"/>
        <v>0</v>
      </c>
      <c r="G24" s="699">
        <f t="shared" si="8"/>
        <v>1</v>
      </c>
      <c r="H24" s="2019" t="str">
        <f t="shared" si="9"/>
        <v/>
      </c>
      <c r="I24" s="2020"/>
      <c r="J24" s="2020"/>
      <c r="K24" s="2021"/>
      <c r="L24" s="701" t="str">
        <f t="shared" si="10"/>
        <v/>
      </c>
      <c r="N24" s="1018"/>
    </row>
    <row r="25" spans="1:14" ht="24.4" customHeight="1" x14ac:dyDescent="0.4">
      <c r="A25" s="22">
        <v>5</v>
      </c>
      <c r="B25" s="697">
        <f t="shared" si="5"/>
        <v>1</v>
      </c>
      <c r="C25" s="705"/>
      <c r="D25" s="697">
        <f t="shared" si="6"/>
        <v>0</v>
      </c>
      <c r="E25" s="705"/>
      <c r="F25" s="697">
        <f t="shared" si="7"/>
        <v>0</v>
      </c>
      <c r="G25" s="699">
        <f t="shared" si="8"/>
        <v>1</v>
      </c>
      <c r="H25" s="2019" t="str">
        <f t="shared" si="9"/>
        <v/>
      </c>
      <c r="I25" s="2020"/>
      <c r="J25" s="2020"/>
      <c r="K25" s="2021"/>
      <c r="L25" s="701" t="str">
        <f t="shared" si="10"/>
        <v/>
      </c>
    </row>
    <row r="26" spans="1:14" ht="24.4" customHeight="1" thickBot="1" x14ac:dyDescent="0.45">
      <c r="A26" s="858">
        <v>6</v>
      </c>
      <c r="B26" s="859">
        <f t="shared" si="5"/>
        <v>1</v>
      </c>
      <c r="C26" s="1182"/>
      <c r="D26" s="859">
        <f t="shared" si="6"/>
        <v>0</v>
      </c>
      <c r="E26" s="1182"/>
      <c r="F26" s="859">
        <f t="shared" si="7"/>
        <v>0</v>
      </c>
      <c r="G26" s="936">
        <f t="shared" si="8"/>
        <v>1</v>
      </c>
      <c r="H26" s="2031" t="str">
        <f t="shared" si="9"/>
        <v/>
      </c>
      <c r="I26" s="2032"/>
      <c r="J26" s="2032"/>
      <c r="K26" s="2033"/>
      <c r="L26" s="939" t="str">
        <f t="shared" si="10"/>
        <v/>
      </c>
    </row>
    <row r="27" spans="1:14" ht="52.5" customHeight="1" x14ac:dyDescent="0.4">
      <c r="A27" s="2022" t="str">
        <f>' K3 PP'!A47</f>
        <v>Lizenziert für:
Vers. 3.0</v>
      </c>
      <c r="B27" s="2023"/>
      <c r="C27" s="2024" t="str">
        <f ca="1">' K3 PP'!D47</f>
        <v>Keine gültige Lizenz! Nur als Testversion nutzbar!</v>
      </c>
      <c r="D27" s="2024"/>
      <c r="E27" s="2024"/>
      <c r="F27" s="2025"/>
      <c r="G27" s="2026"/>
      <c r="H27" s="2027"/>
      <c r="I27" s="2027"/>
      <c r="J27" s="2028"/>
      <c r="K27" s="2029" t="s">
        <v>612</v>
      </c>
      <c r="L27" s="2030"/>
    </row>
  </sheetData>
  <sheetProtection password="B984" sheet="1" scenarios="1" formatColumns="0" selectLockedCells="1"/>
  <mergeCells count="53">
    <mergeCell ref="N20:N21"/>
    <mergeCell ref="K3:L3"/>
    <mergeCell ref="D5:D6"/>
    <mergeCell ref="E6:F6"/>
    <mergeCell ref="G5:G6"/>
    <mergeCell ref="J5:J6"/>
    <mergeCell ref="K5:L6"/>
    <mergeCell ref="G3:H3"/>
    <mergeCell ref="H5:I6"/>
    <mergeCell ref="I4:L4"/>
    <mergeCell ref="I3:J3"/>
    <mergeCell ref="N16:N17"/>
    <mergeCell ref="N18:N19"/>
    <mergeCell ref="H16:L17"/>
    <mergeCell ref="H20:K20"/>
    <mergeCell ref="H18:K19"/>
    <mergeCell ref="G16:G17"/>
    <mergeCell ref="B15:C15"/>
    <mergeCell ref="C18:C19"/>
    <mergeCell ref="H22:K22"/>
    <mergeCell ref="H21:K21"/>
    <mergeCell ref="H23:K23"/>
    <mergeCell ref="H24:K24"/>
    <mergeCell ref="H25:K25"/>
    <mergeCell ref="A27:B27"/>
    <mergeCell ref="C27:F27"/>
    <mergeCell ref="G27:J27"/>
    <mergeCell ref="K27:L27"/>
    <mergeCell ref="H26:K26"/>
    <mergeCell ref="A16:A20"/>
    <mergeCell ref="B16:B17"/>
    <mergeCell ref="C16:D17"/>
    <mergeCell ref="E16:F17"/>
    <mergeCell ref="E18:E19"/>
    <mergeCell ref="A2:E2"/>
    <mergeCell ref="A3:E3"/>
    <mergeCell ref="A4:E4"/>
    <mergeCell ref="E5:F5"/>
    <mergeCell ref="F1:L2"/>
    <mergeCell ref="A5:A8"/>
    <mergeCell ref="G4:H4"/>
    <mergeCell ref="B5:C6"/>
    <mergeCell ref="B7:C8"/>
    <mergeCell ref="K7:K8"/>
    <mergeCell ref="D7:D8"/>
    <mergeCell ref="E7:E8"/>
    <mergeCell ref="H7:H8"/>
    <mergeCell ref="B9:C9"/>
    <mergeCell ref="B14:C14"/>
    <mergeCell ref="B10:C10"/>
    <mergeCell ref="B11:C11"/>
    <mergeCell ref="B12:C12"/>
    <mergeCell ref="B13:C13"/>
  </mergeCells>
  <conditionalFormatting sqref="A2:E4">
    <cfRule type="expression" dxfId="72" priority="3">
      <formula>_OK?&lt;&gt;"OK!"</formula>
    </cfRule>
  </conditionalFormatting>
  <conditionalFormatting sqref="C27:F27">
    <cfRule type="expression" dxfId="71" priority="2">
      <formula>_OK?&lt;&gt;"OK!"</formula>
    </cfRule>
  </conditionalFormatting>
  <dataValidations count="2">
    <dataValidation type="decimal" errorStyle="warning" allowBlank="1" showInputMessage="1" showErrorMessage="1" error="Hinweis: Wert erscheint hoch (oder ist negativ)!" sqref="C21:C26 E21:E26 K10:K15" xr:uid="{CC9B17CB-BA20-410E-A562-DFE319B9BB8B}">
      <formula1>0</formula1>
      <formula2>0.08</formula2>
    </dataValidation>
    <dataValidation type="decimal" errorStyle="warning" allowBlank="1" showInputMessage="1" showErrorMessage="1" error="Hinweis: Wert erscheint hoch (oder ist negativ)!" sqref="H10:H15 E10:E15" xr:uid="{1B64447B-82FD-47ED-855F-4C9F7759971B}">
      <formula1>0</formula1>
      <formula2>0.2</formula2>
    </dataValidation>
  </dataValidations>
  <pageMargins left="0.59055118110236227" right="0.19685039370078741" top="0.59055118110236227" bottom="0.78740157480314965" header="0.19685039370078741" footer="0.11811023622047245"/>
  <pageSetup paperSize="9" orientation="portrait" r:id="rId1"/>
  <headerFooter>
    <oddFooter>&amp;L&amp;"-,Standard"&amp;9K2-Blatt "Gesamtzuschläge"
Seite: &amp;P&amp;R&amp;"-,Standard"&amp;9&amp;F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8902D9CC-708B-4412-92B2-0266F59FF243}">
            <xm:f>Projekt!$F$271="Nein"</xm:f>
            <x14:dxf>
              <font>
                <color theme="0"/>
              </font>
              <border>
                <left style="thin">
                  <color theme="0"/>
                </left>
                <right style="thin">
                  <color theme="0"/>
                </right>
                <bottom style="thin">
                  <color theme="0"/>
                </bottom>
                <vertical/>
                <horizontal/>
              </border>
            </x14:dxf>
          </x14:cfRule>
          <xm:sqref>N20:N21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3CEF3-8832-451B-84B5-081A3ADF352F}">
  <sheetPr>
    <tabColor theme="7" tint="0.39997558519241921"/>
  </sheetPr>
  <dimension ref="A1:N29"/>
  <sheetViews>
    <sheetView showGridLines="0" zoomScaleNormal="100" workbookViewId="0">
      <selection activeCell="G23" sqref="G23:G28"/>
    </sheetView>
  </sheetViews>
  <sheetFormatPr baseColWidth="10" defaultColWidth="10.6640625" defaultRowHeight="14.25" x14ac:dyDescent="0.45"/>
  <cols>
    <col min="1" max="1" width="1.71875" style="496" customWidth="1"/>
    <col min="2" max="2" width="7.21875" style="496" customWidth="1"/>
    <col min="3" max="3" width="6.33203125" style="496" customWidth="1"/>
    <col min="4" max="4" width="7.21875" style="496" customWidth="1"/>
    <col min="5" max="5" width="6.5546875" style="496" customWidth="1"/>
    <col min="6" max="6" width="6.88671875" style="496" customWidth="1"/>
    <col min="7" max="7" width="7.21875" style="496" customWidth="1"/>
    <col min="8" max="8" width="6.83203125" style="496" customWidth="1"/>
    <col min="9" max="9" width="6.5546875" style="496" customWidth="1"/>
    <col min="10" max="10" width="7.21875" style="496" customWidth="1"/>
    <col min="11" max="12" width="6.88671875" style="496" customWidth="1"/>
    <col min="13" max="13" width="4.609375" style="496" customWidth="1"/>
    <col min="14" max="16384" width="10.6640625" style="496"/>
  </cols>
  <sheetData>
    <row r="1" spans="1:14" s="488" customFormat="1" ht="18" x14ac:dyDescent="0.55000000000000004">
      <c r="A1" s="503" t="s">
        <v>356</v>
      </c>
      <c r="B1" s="504"/>
      <c r="C1" s="504"/>
      <c r="D1" s="504"/>
      <c r="E1" s="505" t="s">
        <v>31</v>
      </c>
      <c r="F1" s="2105" t="str">
        <f>'K2 GZ'!F1</f>
        <v xml:space="preserve">Musterbaustelle </v>
      </c>
      <c r="G1" s="2106"/>
      <c r="H1" s="2106"/>
      <c r="I1" s="2106"/>
      <c r="J1" s="2106"/>
      <c r="K1" s="2106"/>
      <c r="L1" s="2106"/>
    </row>
    <row r="2" spans="1:14" s="488" customFormat="1" ht="14.25" customHeight="1" x14ac:dyDescent="0.4">
      <c r="A2" s="2125" t="str">
        <f ca="1">Projekt!D7</f>
        <v>Nur als Testversion nutzbar!</v>
      </c>
      <c r="B2" s="2126"/>
      <c r="C2" s="2126"/>
      <c r="D2" s="2126"/>
      <c r="E2" s="2127"/>
      <c r="F2" s="2105"/>
      <c r="G2" s="2106"/>
      <c r="H2" s="2106"/>
      <c r="I2" s="2107"/>
      <c r="J2" s="2107"/>
      <c r="K2" s="2107"/>
      <c r="L2" s="2107"/>
    </row>
    <row r="3" spans="1:14" s="488" customFormat="1" ht="13.15" x14ac:dyDescent="0.4">
      <c r="A3" s="2131" t="str">
        <f>IF(Projekt!D8&lt;&gt;0,Projekt!D8,"")</f>
        <v>Musterstraße</v>
      </c>
      <c r="B3" s="2132"/>
      <c r="C3" s="2132"/>
      <c r="D3" s="2132"/>
      <c r="E3" s="2133"/>
      <c r="F3" s="497" t="s">
        <v>252</v>
      </c>
      <c r="G3" s="2108" t="str">
        <f>'K2 GZ'!G3:H3</f>
        <v>Musterbaustelle</v>
      </c>
      <c r="H3" s="2109"/>
      <c r="I3" s="2110" t="s">
        <v>1</v>
      </c>
      <c r="J3" s="2111"/>
      <c r="K3" s="2112">
        <f>'K2 GZ'!K3:L3</f>
        <v>45047</v>
      </c>
      <c r="L3" s="2113"/>
    </row>
    <row r="4" spans="1:14" s="488" customFormat="1" ht="14.45" customHeight="1" thickBot="1" x14ac:dyDescent="0.45">
      <c r="A4" s="2128" t="str">
        <f>IF(Projekt!D9&lt;&gt;0,Projekt!D9,"")</f>
        <v/>
      </c>
      <c r="B4" s="2129"/>
      <c r="C4" s="2129"/>
      <c r="D4" s="2129"/>
      <c r="E4" s="2130"/>
      <c r="F4" s="498" t="s">
        <v>253</v>
      </c>
      <c r="G4" s="2114" t="str">
        <f>'K2 GZ'!G4:H4</f>
        <v>xxx</v>
      </c>
      <c r="H4" s="2114"/>
      <c r="I4" s="2115" t="s">
        <v>115</v>
      </c>
      <c r="J4" s="2115"/>
      <c r="K4" s="2115"/>
      <c r="L4" s="2115"/>
    </row>
    <row r="5" spans="1:14" s="488" customFormat="1" ht="13.15" customHeight="1" x14ac:dyDescent="0.4">
      <c r="A5" s="506"/>
      <c r="B5" s="2116" t="s">
        <v>454</v>
      </c>
      <c r="C5" s="2117"/>
      <c r="D5" s="2116" t="s">
        <v>455</v>
      </c>
      <c r="E5" s="2116" t="s">
        <v>365</v>
      </c>
      <c r="F5" s="2117"/>
      <c r="G5" s="2123" t="s">
        <v>357</v>
      </c>
      <c r="H5" s="2116" t="s">
        <v>365</v>
      </c>
      <c r="I5" s="2117"/>
      <c r="J5" s="2123" t="s">
        <v>357</v>
      </c>
      <c r="K5" s="2116" t="s">
        <v>365</v>
      </c>
      <c r="L5" s="2117"/>
    </row>
    <row r="6" spans="1:14" s="488" customFormat="1" ht="40.35" customHeight="1" x14ac:dyDescent="0.4">
      <c r="A6" s="506"/>
      <c r="B6" s="2116"/>
      <c r="C6" s="2117"/>
      <c r="D6" s="2121"/>
      <c r="E6" s="2067" t="s">
        <v>684</v>
      </c>
      <c r="F6" s="2068"/>
      <c r="G6" s="2124"/>
      <c r="H6" s="2067" t="s">
        <v>685</v>
      </c>
      <c r="I6" s="2068"/>
      <c r="J6" s="2124"/>
      <c r="K6" s="2067" t="s">
        <v>686</v>
      </c>
      <c r="L6" s="2068"/>
    </row>
    <row r="7" spans="1:14" s="488" customFormat="1" ht="13.15" x14ac:dyDescent="0.4">
      <c r="A7" s="506"/>
      <c r="B7" s="2116"/>
      <c r="C7" s="2117"/>
      <c r="D7" s="2086" t="s">
        <v>120</v>
      </c>
      <c r="E7" s="2086" t="s">
        <v>258</v>
      </c>
      <c r="F7" s="489" t="s">
        <v>77</v>
      </c>
      <c r="G7" s="489" t="s">
        <v>77</v>
      </c>
      <c r="H7" s="2086" t="s">
        <v>261</v>
      </c>
      <c r="I7" s="489" t="s">
        <v>77</v>
      </c>
      <c r="J7" s="489" t="s">
        <v>77</v>
      </c>
      <c r="K7" s="2086" t="s">
        <v>264</v>
      </c>
      <c r="L7" s="489" t="s">
        <v>77</v>
      </c>
    </row>
    <row r="8" spans="1:14" s="488" customFormat="1" ht="13.15" x14ac:dyDescent="0.4">
      <c r="A8" s="507"/>
      <c r="B8" s="2121"/>
      <c r="C8" s="2122"/>
      <c r="D8" s="2087"/>
      <c r="E8" s="2087"/>
      <c r="F8" s="490" t="s">
        <v>259</v>
      </c>
      <c r="G8" s="490" t="s">
        <v>260</v>
      </c>
      <c r="H8" s="2087"/>
      <c r="I8" s="490" t="s">
        <v>262</v>
      </c>
      <c r="J8" s="490" t="s">
        <v>263</v>
      </c>
      <c r="K8" s="2087"/>
      <c r="L8" s="490" t="s">
        <v>265</v>
      </c>
    </row>
    <row r="9" spans="1:14" s="488" customFormat="1" ht="13.5" thickBot="1" x14ac:dyDescent="0.45">
      <c r="A9" s="508" t="s">
        <v>10</v>
      </c>
      <c r="B9" s="2134" t="s">
        <v>11</v>
      </c>
      <c r="C9" s="2134"/>
      <c r="D9" s="491" t="s">
        <v>257</v>
      </c>
      <c r="E9" s="491" t="s">
        <v>12</v>
      </c>
      <c r="F9" s="491" t="s">
        <v>13</v>
      </c>
      <c r="G9" s="491" t="s">
        <v>14</v>
      </c>
      <c r="H9" s="491" t="s">
        <v>15</v>
      </c>
      <c r="I9" s="491" t="s">
        <v>16</v>
      </c>
      <c r="J9" s="491" t="s">
        <v>0</v>
      </c>
      <c r="K9" s="491" t="s">
        <v>17</v>
      </c>
      <c r="L9" s="491" t="s">
        <v>18</v>
      </c>
    </row>
    <row r="10" spans="1:14" s="488" customFormat="1" ht="14.25" customHeight="1" thickBot="1" x14ac:dyDescent="0.45">
      <c r="A10" s="508"/>
      <c r="B10" s="2135"/>
      <c r="C10" s="2136"/>
      <c r="D10" s="2081" t="s">
        <v>358</v>
      </c>
      <c r="E10" s="2082"/>
      <c r="F10" s="2082"/>
      <c r="G10" s="2082"/>
      <c r="H10" s="2082"/>
      <c r="I10" s="2082"/>
      <c r="J10" s="2082"/>
      <c r="K10" s="2082"/>
      <c r="L10" s="2137"/>
    </row>
    <row r="11" spans="1:14" s="488" customFormat="1" ht="25.35" customHeight="1" x14ac:dyDescent="0.4">
      <c r="A11" s="509">
        <v>1</v>
      </c>
      <c r="B11" s="2118" t="str">
        <f>'K2 GZ'!B10</f>
        <v>Alle Kostenarten</v>
      </c>
      <c r="C11" s="2118"/>
      <c r="D11" s="703">
        <v>1</v>
      </c>
      <c r="E11" s="704">
        <v>0</v>
      </c>
      <c r="F11" s="703">
        <f t="shared" ref="F11:F16" si="0">E11*D11</f>
        <v>0</v>
      </c>
      <c r="G11" s="703">
        <f t="shared" ref="G11:G16" si="1">F11+D11</f>
        <v>1</v>
      </c>
      <c r="H11" s="705"/>
      <c r="I11" s="703">
        <f t="shared" ref="I11:I16" si="2">G11*H11</f>
        <v>0</v>
      </c>
      <c r="J11" s="703">
        <f t="shared" ref="J11:J16" si="3">I11+G11</f>
        <v>1</v>
      </c>
      <c r="K11" s="705"/>
      <c r="L11" s="703">
        <f t="shared" ref="L11:L16" si="4">J11*K11</f>
        <v>0</v>
      </c>
    </row>
    <row r="12" spans="1:14" s="488" customFormat="1" ht="25.35" customHeight="1" x14ac:dyDescent="0.4">
      <c r="A12" s="509">
        <v>2</v>
      </c>
      <c r="B12" s="2118">
        <f>'K2 GZ'!B11</f>
        <v>0</v>
      </c>
      <c r="C12" s="2118"/>
      <c r="D12" s="706">
        <v>1</v>
      </c>
      <c r="E12" s="707"/>
      <c r="F12" s="706">
        <f t="shared" si="0"/>
        <v>0</v>
      </c>
      <c r="G12" s="706">
        <f t="shared" si="1"/>
        <v>1</v>
      </c>
      <c r="H12" s="708"/>
      <c r="I12" s="706">
        <f t="shared" si="2"/>
        <v>0</v>
      </c>
      <c r="J12" s="706">
        <f t="shared" si="3"/>
        <v>1</v>
      </c>
      <c r="K12" s="708"/>
      <c r="L12" s="706">
        <f t="shared" si="4"/>
        <v>0</v>
      </c>
    </row>
    <row r="13" spans="1:14" s="488" customFormat="1" ht="25.35" customHeight="1" x14ac:dyDescent="0.4">
      <c r="A13" s="509">
        <v>3</v>
      </c>
      <c r="B13" s="2118">
        <f>'K2 GZ'!B12</f>
        <v>0</v>
      </c>
      <c r="C13" s="2118"/>
      <c r="D13" s="706">
        <v>1</v>
      </c>
      <c r="E13" s="707"/>
      <c r="F13" s="706">
        <f t="shared" si="0"/>
        <v>0</v>
      </c>
      <c r="G13" s="706">
        <f t="shared" si="1"/>
        <v>1</v>
      </c>
      <c r="H13" s="708"/>
      <c r="I13" s="706">
        <f t="shared" si="2"/>
        <v>0</v>
      </c>
      <c r="J13" s="706">
        <f t="shared" si="3"/>
        <v>1</v>
      </c>
      <c r="K13" s="708"/>
      <c r="L13" s="706">
        <f t="shared" si="4"/>
        <v>0</v>
      </c>
    </row>
    <row r="14" spans="1:14" s="488" customFormat="1" ht="25.35" customHeight="1" thickBot="1" x14ac:dyDescent="0.45">
      <c r="A14" s="509">
        <v>4</v>
      </c>
      <c r="B14" s="2118">
        <f>'K2 GZ'!B13</f>
        <v>0</v>
      </c>
      <c r="C14" s="2118"/>
      <c r="D14" s="706">
        <v>1</v>
      </c>
      <c r="E14" s="707"/>
      <c r="F14" s="706">
        <f t="shared" si="0"/>
        <v>0</v>
      </c>
      <c r="G14" s="706">
        <f t="shared" si="1"/>
        <v>1</v>
      </c>
      <c r="H14" s="708"/>
      <c r="I14" s="706">
        <f t="shared" si="2"/>
        <v>0</v>
      </c>
      <c r="J14" s="706">
        <f t="shared" si="3"/>
        <v>1</v>
      </c>
      <c r="K14" s="708"/>
      <c r="L14" s="706">
        <f t="shared" si="4"/>
        <v>0</v>
      </c>
    </row>
    <row r="15" spans="1:14" s="488" customFormat="1" ht="25.35" customHeight="1" thickBot="1" x14ac:dyDescent="0.45">
      <c r="A15" s="509">
        <v>5</v>
      </c>
      <c r="B15" s="2118">
        <f>'K2 GZ'!B14</f>
        <v>0</v>
      </c>
      <c r="C15" s="2118"/>
      <c r="D15" s="706">
        <v>1</v>
      </c>
      <c r="E15" s="707"/>
      <c r="F15" s="706">
        <f t="shared" si="0"/>
        <v>0</v>
      </c>
      <c r="G15" s="706">
        <f t="shared" si="1"/>
        <v>1</v>
      </c>
      <c r="H15" s="708"/>
      <c r="I15" s="706">
        <f t="shared" si="2"/>
        <v>0</v>
      </c>
      <c r="J15" s="706">
        <f t="shared" si="3"/>
        <v>1</v>
      </c>
      <c r="K15" s="708"/>
      <c r="L15" s="706">
        <f t="shared" si="4"/>
        <v>0</v>
      </c>
      <c r="N15" s="1019"/>
    </row>
    <row r="16" spans="1:14" s="488" customFormat="1" ht="25.35" customHeight="1" thickBot="1" x14ac:dyDescent="0.45">
      <c r="A16" s="509">
        <v>6</v>
      </c>
      <c r="B16" s="2118">
        <f>'K2 GZ'!B15</f>
        <v>0</v>
      </c>
      <c r="C16" s="2118"/>
      <c r="D16" s="706">
        <v>1</v>
      </c>
      <c r="E16" s="707"/>
      <c r="F16" s="706">
        <f t="shared" si="0"/>
        <v>0</v>
      </c>
      <c r="G16" s="706">
        <f t="shared" si="1"/>
        <v>1</v>
      </c>
      <c r="H16" s="708"/>
      <c r="I16" s="706">
        <f t="shared" si="2"/>
        <v>0</v>
      </c>
      <c r="J16" s="706">
        <f t="shared" si="3"/>
        <v>1</v>
      </c>
      <c r="K16" s="708"/>
      <c r="L16" s="706">
        <f t="shared" si="4"/>
        <v>0</v>
      </c>
      <c r="N16" s="1016"/>
    </row>
    <row r="17" spans="1:14" s="488" customFormat="1" ht="13.15" customHeight="1" x14ac:dyDescent="0.4">
      <c r="A17" s="2123"/>
      <c r="B17" s="2123" t="s">
        <v>452</v>
      </c>
      <c r="C17" s="2069" t="s">
        <v>453</v>
      </c>
      <c r="D17" s="2070"/>
      <c r="E17" s="2069" t="s">
        <v>453</v>
      </c>
      <c r="F17" s="2070"/>
      <c r="G17" s="2069" t="s">
        <v>453</v>
      </c>
      <c r="H17" s="2070"/>
      <c r="I17" s="2061" t="s">
        <v>359</v>
      </c>
      <c r="J17" s="2062"/>
      <c r="K17" s="2062"/>
      <c r="L17" s="2063"/>
      <c r="N17" s="2088" t="s">
        <v>605</v>
      </c>
    </row>
    <row r="18" spans="1:14" s="488" customFormat="1" ht="40.35" customHeight="1" x14ac:dyDescent="0.4">
      <c r="A18" s="2123"/>
      <c r="B18" s="2124"/>
      <c r="C18" s="2067"/>
      <c r="D18" s="2068"/>
      <c r="E18" s="2067"/>
      <c r="F18" s="2068"/>
      <c r="G18" s="2067"/>
      <c r="H18" s="2071"/>
      <c r="I18" s="2064"/>
      <c r="J18" s="2065"/>
      <c r="K18" s="2065"/>
      <c r="L18" s="2066"/>
      <c r="N18" s="2088"/>
    </row>
    <row r="19" spans="1:14" s="488" customFormat="1" ht="13.15" customHeight="1" x14ac:dyDescent="0.4">
      <c r="A19" s="2123"/>
      <c r="B19" s="489" t="s">
        <v>77</v>
      </c>
      <c r="C19" s="2086" t="s">
        <v>360</v>
      </c>
      <c r="D19" s="489" t="s">
        <v>77</v>
      </c>
      <c r="E19" s="2086" t="s">
        <v>360</v>
      </c>
      <c r="F19" s="489" t="s">
        <v>77</v>
      </c>
      <c r="G19" s="2086" t="s">
        <v>360</v>
      </c>
      <c r="H19" s="493" t="s">
        <v>77</v>
      </c>
      <c r="I19" s="2072"/>
      <c r="J19" s="2073"/>
      <c r="K19" s="2073"/>
      <c r="L19" s="2074"/>
      <c r="N19" s="868" t="s">
        <v>606</v>
      </c>
    </row>
    <row r="20" spans="1:14" s="488" customFormat="1" ht="14.25" customHeight="1" x14ac:dyDescent="0.4">
      <c r="A20" s="2123"/>
      <c r="B20" s="490" t="s">
        <v>266</v>
      </c>
      <c r="C20" s="2087"/>
      <c r="D20" s="490" t="s">
        <v>268</v>
      </c>
      <c r="E20" s="2087"/>
      <c r="F20" s="490" t="s">
        <v>269</v>
      </c>
      <c r="G20" s="2087"/>
      <c r="H20" s="494" t="s">
        <v>361</v>
      </c>
      <c r="I20" s="2075" t="s">
        <v>362</v>
      </c>
      <c r="J20" s="2076"/>
      <c r="K20" s="2076"/>
      <c r="L20" s="2077"/>
      <c r="N20" s="2049" t="str">
        <f ca="1">'K2 GZ'!N18</f>
        <v>64,00 €/Std</v>
      </c>
    </row>
    <row r="21" spans="1:14" s="488" customFormat="1" ht="14.65" customHeight="1" thickBot="1" x14ac:dyDescent="0.45">
      <c r="A21" s="2123"/>
      <c r="B21" s="499" t="s">
        <v>19</v>
      </c>
      <c r="C21" s="491" t="s">
        <v>20</v>
      </c>
      <c r="D21" s="491" t="s">
        <v>24</v>
      </c>
      <c r="E21" s="491" t="s">
        <v>4</v>
      </c>
      <c r="F21" s="491" t="s">
        <v>5</v>
      </c>
      <c r="G21" s="491" t="s">
        <v>6</v>
      </c>
      <c r="H21" s="495" t="s">
        <v>281</v>
      </c>
      <c r="I21" s="2078" t="s">
        <v>7</v>
      </c>
      <c r="J21" s="2079"/>
      <c r="K21" s="2079"/>
      <c r="L21" s="2080"/>
      <c r="N21" s="2050"/>
    </row>
    <row r="22" spans="1:14" s="488" customFormat="1" ht="14.65" customHeight="1" thickBot="1" x14ac:dyDescent="0.45">
      <c r="A22" s="510"/>
      <c r="B22" s="494"/>
      <c r="C22" s="2081" t="s">
        <v>363</v>
      </c>
      <c r="D22" s="2082"/>
      <c r="E22" s="2082"/>
      <c r="F22" s="2082"/>
      <c r="G22" s="2082"/>
      <c r="H22" s="2082"/>
      <c r="I22" s="2083"/>
      <c r="J22" s="2084"/>
      <c r="K22" s="2084"/>
      <c r="L22" s="2085"/>
      <c r="N22" s="869" t="s">
        <v>607</v>
      </c>
    </row>
    <row r="23" spans="1:14" s="488" customFormat="1" ht="25.35" customHeight="1" x14ac:dyDescent="0.4">
      <c r="A23" s="511">
        <v>1</v>
      </c>
      <c r="B23" s="492">
        <f t="shared" ref="B23:B28" si="5">D11</f>
        <v>1</v>
      </c>
      <c r="C23" s="705"/>
      <c r="D23" s="703">
        <f t="shared" ref="D23:D28" si="6">C23</f>
        <v>0</v>
      </c>
      <c r="E23" s="705"/>
      <c r="F23" s="703">
        <f t="shared" ref="F23:F28" si="7">E23</f>
        <v>0</v>
      </c>
      <c r="G23" s="705"/>
      <c r="H23" s="709">
        <f t="shared" ref="H23:H28" si="8">G23</f>
        <v>0</v>
      </c>
      <c r="I23" s="2097" t="str">
        <f t="shared" ref="I23:I28" si="9">B11</f>
        <v>Alle Kostenarten</v>
      </c>
      <c r="J23" s="2098"/>
      <c r="K23" s="2095">
        <f t="shared" ref="K23:K28" si="10">F11+I11+L11+D23+F23+H23</f>
        <v>0</v>
      </c>
      <c r="L23" s="2096"/>
      <c r="N23" s="866">
        <f>IFERROR('K2 GZ'!L21,"Nicht errechenbar")</f>
        <v>0.25800000000000001</v>
      </c>
    </row>
    <row r="24" spans="1:14" s="488" customFormat="1" ht="25.35" customHeight="1" x14ac:dyDescent="0.4">
      <c r="A24" s="509">
        <v>2</v>
      </c>
      <c r="B24" s="492">
        <f t="shared" si="5"/>
        <v>1</v>
      </c>
      <c r="C24" s="705"/>
      <c r="D24" s="703">
        <f t="shared" si="6"/>
        <v>0</v>
      </c>
      <c r="E24" s="705"/>
      <c r="F24" s="703">
        <f t="shared" si="7"/>
        <v>0</v>
      </c>
      <c r="G24" s="705"/>
      <c r="H24" s="709">
        <f t="shared" si="8"/>
        <v>0</v>
      </c>
      <c r="I24" s="2097">
        <f t="shared" si="9"/>
        <v>0</v>
      </c>
      <c r="J24" s="2098"/>
      <c r="K24" s="2095">
        <f t="shared" si="10"/>
        <v>0</v>
      </c>
      <c r="L24" s="2096"/>
      <c r="N24" s="866" t="str">
        <f>IFERROR('K2 GZ'!L22,"Nicht errechenbar")</f>
        <v/>
      </c>
    </row>
    <row r="25" spans="1:14" s="488" customFormat="1" ht="25.35" customHeight="1" x14ac:dyDescent="0.4">
      <c r="A25" s="509">
        <v>3</v>
      </c>
      <c r="B25" s="492">
        <f t="shared" si="5"/>
        <v>1</v>
      </c>
      <c r="C25" s="705"/>
      <c r="D25" s="703">
        <f t="shared" si="6"/>
        <v>0</v>
      </c>
      <c r="E25" s="705"/>
      <c r="F25" s="703">
        <f t="shared" si="7"/>
        <v>0</v>
      </c>
      <c r="G25" s="705"/>
      <c r="H25" s="709">
        <f t="shared" si="8"/>
        <v>0</v>
      </c>
      <c r="I25" s="2097">
        <f t="shared" si="9"/>
        <v>0</v>
      </c>
      <c r="J25" s="2098"/>
      <c r="K25" s="2095">
        <f t="shared" si="10"/>
        <v>0</v>
      </c>
      <c r="L25" s="2096"/>
      <c r="N25" s="866" t="str">
        <f>IFERROR('K2 GZ'!L23,"Nicht errechenbar")</f>
        <v/>
      </c>
    </row>
    <row r="26" spans="1:14" s="488" customFormat="1" ht="25.35" customHeight="1" x14ac:dyDescent="0.4">
      <c r="A26" s="509">
        <v>4</v>
      </c>
      <c r="B26" s="492">
        <f t="shared" si="5"/>
        <v>1</v>
      </c>
      <c r="C26" s="705"/>
      <c r="D26" s="703">
        <f t="shared" si="6"/>
        <v>0</v>
      </c>
      <c r="E26" s="705"/>
      <c r="F26" s="703">
        <f t="shared" si="7"/>
        <v>0</v>
      </c>
      <c r="G26" s="705"/>
      <c r="H26" s="709">
        <f t="shared" si="8"/>
        <v>0</v>
      </c>
      <c r="I26" s="2097">
        <f t="shared" si="9"/>
        <v>0</v>
      </c>
      <c r="J26" s="2098"/>
      <c r="K26" s="2095">
        <f t="shared" si="10"/>
        <v>0</v>
      </c>
      <c r="L26" s="2096"/>
      <c r="N26" s="866" t="str">
        <f>IFERROR('K2 GZ'!L24,"Nicht errechenbar")</f>
        <v/>
      </c>
    </row>
    <row r="27" spans="1:14" s="488" customFormat="1" ht="25.35" customHeight="1" x14ac:dyDescent="0.4">
      <c r="A27" s="509">
        <v>5</v>
      </c>
      <c r="B27" s="492">
        <f t="shared" si="5"/>
        <v>1</v>
      </c>
      <c r="C27" s="705"/>
      <c r="D27" s="703">
        <f t="shared" si="6"/>
        <v>0</v>
      </c>
      <c r="E27" s="705"/>
      <c r="F27" s="703">
        <f t="shared" si="7"/>
        <v>0</v>
      </c>
      <c r="G27" s="705"/>
      <c r="H27" s="709">
        <f t="shared" si="8"/>
        <v>0</v>
      </c>
      <c r="I27" s="2097">
        <f t="shared" si="9"/>
        <v>0</v>
      </c>
      <c r="J27" s="2098"/>
      <c r="K27" s="2095">
        <f t="shared" si="10"/>
        <v>0</v>
      </c>
      <c r="L27" s="2096"/>
      <c r="N27" s="866" t="str">
        <f>IFERROR('K2 GZ'!L25,"Nicht errechenbar")</f>
        <v/>
      </c>
    </row>
    <row r="28" spans="1:14" s="488" customFormat="1" ht="25.35" customHeight="1" thickBot="1" x14ac:dyDescent="0.45">
      <c r="A28" s="860">
        <v>6</v>
      </c>
      <c r="B28" s="861">
        <f t="shared" si="5"/>
        <v>1</v>
      </c>
      <c r="C28" s="1182"/>
      <c r="D28" s="862">
        <f t="shared" si="6"/>
        <v>0</v>
      </c>
      <c r="E28" s="1182"/>
      <c r="F28" s="862">
        <f t="shared" si="7"/>
        <v>0</v>
      </c>
      <c r="G28" s="1182"/>
      <c r="H28" s="710">
        <f t="shared" si="8"/>
        <v>0</v>
      </c>
      <c r="I28" s="2101">
        <f t="shared" si="9"/>
        <v>0</v>
      </c>
      <c r="J28" s="2102"/>
      <c r="K28" s="2103">
        <f t="shared" si="10"/>
        <v>0</v>
      </c>
      <c r="L28" s="2104"/>
      <c r="N28" s="867" t="str">
        <f>IFERROR('K2 GZ'!L26,"Nicht errechenbar")</f>
        <v/>
      </c>
    </row>
    <row r="29" spans="1:14" s="488" customFormat="1" ht="52.15" customHeight="1" x14ac:dyDescent="0.4">
      <c r="A29" s="2119" t="str">
        <f>' K3 PP'!A47</f>
        <v>Lizenziert für:
Vers. 3.0</v>
      </c>
      <c r="B29" s="2120"/>
      <c r="C29" s="2089" t="str">
        <f ca="1">' K3 PP'!D47</f>
        <v>Keine gültige Lizenz! Nur als Testversion nutzbar!</v>
      </c>
      <c r="D29" s="2090"/>
      <c r="E29" s="2090"/>
      <c r="F29" s="2090"/>
      <c r="G29" s="2091"/>
      <c r="H29" s="2092"/>
      <c r="I29" s="2093"/>
      <c r="J29" s="2094"/>
      <c r="K29" s="2099" t="s">
        <v>597</v>
      </c>
      <c r="L29" s="2100"/>
    </row>
  </sheetData>
  <sheetProtection password="B984" sheet="1" scenarios="1" formatColumns="0" selectLockedCells="1"/>
  <mergeCells count="67">
    <mergeCell ref="A17:A21"/>
    <mergeCell ref="B17:B18"/>
    <mergeCell ref="A2:E2"/>
    <mergeCell ref="A4:E4"/>
    <mergeCell ref="H5:I5"/>
    <mergeCell ref="B14:C14"/>
    <mergeCell ref="B15:C15"/>
    <mergeCell ref="A3:E3"/>
    <mergeCell ref="B9:C9"/>
    <mergeCell ref="B10:C10"/>
    <mergeCell ref="D10:L10"/>
    <mergeCell ref="B11:C11"/>
    <mergeCell ref="B12:C12"/>
    <mergeCell ref="G5:G6"/>
    <mergeCell ref="E6:F6"/>
    <mergeCell ref="H7:H8"/>
    <mergeCell ref="D7:D8"/>
    <mergeCell ref="E7:E8"/>
    <mergeCell ref="K5:L5"/>
    <mergeCell ref="B13:C13"/>
    <mergeCell ref="A29:B29"/>
    <mergeCell ref="B5:C8"/>
    <mergeCell ref="D5:D6"/>
    <mergeCell ref="E5:F5"/>
    <mergeCell ref="B16:C16"/>
    <mergeCell ref="E19:E20"/>
    <mergeCell ref="H6:I6"/>
    <mergeCell ref="K6:L6"/>
    <mergeCell ref="K7:K8"/>
    <mergeCell ref="J5:J6"/>
    <mergeCell ref="I27:J27"/>
    <mergeCell ref="K27:L27"/>
    <mergeCell ref="F1:L2"/>
    <mergeCell ref="G3:H3"/>
    <mergeCell ref="I3:J3"/>
    <mergeCell ref="K3:L3"/>
    <mergeCell ref="G4:H4"/>
    <mergeCell ref="I4:L4"/>
    <mergeCell ref="N17:N18"/>
    <mergeCell ref="N20:N21"/>
    <mergeCell ref="C29:G29"/>
    <mergeCell ref="H29:J29"/>
    <mergeCell ref="K23:L23"/>
    <mergeCell ref="I24:J24"/>
    <mergeCell ref="K29:L29"/>
    <mergeCell ref="I28:J28"/>
    <mergeCell ref="K28:L28"/>
    <mergeCell ref="I23:J23"/>
    <mergeCell ref="K24:L24"/>
    <mergeCell ref="I25:J25"/>
    <mergeCell ref="K25:L25"/>
    <mergeCell ref="I26:J26"/>
    <mergeCell ref="K26:L26"/>
    <mergeCell ref="G19:G20"/>
    <mergeCell ref="I19:L19"/>
    <mergeCell ref="I20:L20"/>
    <mergeCell ref="I21:L21"/>
    <mergeCell ref="C22:H22"/>
    <mergeCell ref="I22:L22"/>
    <mergeCell ref="C19:C20"/>
    <mergeCell ref="I17:L18"/>
    <mergeCell ref="C18:D18"/>
    <mergeCell ref="C17:D17"/>
    <mergeCell ref="E18:F18"/>
    <mergeCell ref="G18:H18"/>
    <mergeCell ref="E17:F17"/>
    <mergeCell ref="G17:H17"/>
  </mergeCells>
  <conditionalFormatting sqref="A2:E4">
    <cfRule type="expression" dxfId="69" priority="3">
      <formula>_OK?&lt;&gt;"OK!"</formula>
    </cfRule>
  </conditionalFormatting>
  <conditionalFormatting sqref="C29">
    <cfRule type="expression" dxfId="68" priority="1">
      <formula>_OK?&lt;&gt;"OK!"</formula>
    </cfRule>
  </conditionalFormatting>
  <pageMargins left="0.59055118110236227" right="0.19685039370078741" top="0.59055118110236227" bottom="0.78740157480314965" header="0.19685039370078741" footer="0.11811023622047245"/>
  <pageSetup paperSize="9" orientation="portrait" r:id="rId1"/>
  <headerFooter>
    <oddFooter>&amp;L&amp;"-,Standard"&amp;9K2a-Blatt Hilfsblatt f K2 Spalte D
Seite: &amp;P&amp;R&amp;"-,Standard"&amp;9&amp;F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S48"/>
  <sheetViews>
    <sheetView showGridLines="0" zoomScaleNormal="100" workbookViewId="0">
      <selection activeCell="I47" sqref="I47:M47"/>
    </sheetView>
  </sheetViews>
  <sheetFormatPr baseColWidth="10" defaultRowHeight="15" x14ac:dyDescent="0.4"/>
  <cols>
    <col min="1" max="1" width="2.5546875" style="43" customWidth="1"/>
    <col min="2" max="5" width="4.33203125" customWidth="1"/>
    <col min="6" max="7" width="4.5546875" customWidth="1"/>
    <col min="8" max="8" width="5.77734375" customWidth="1"/>
    <col min="9" max="14" width="4.5546875" customWidth="1"/>
    <col min="15" max="16" width="5.33203125" customWidth="1"/>
  </cols>
  <sheetData>
    <row r="1" spans="1:16" ht="18" x14ac:dyDescent="0.55000000000000004">
      <c r="A1" s="42" t="s">
        <v>29</v>
      </c>
      <c r="B1" s="2180" t="s">
        <v>30</v>
      </c>
      <c r="C1" s="2180"/>
      <c r="D1" s="2180"/>
      <c r="E1" s="2180"/>
      <c r="F1" s="206" t="s">
        <v>294</v>
      </c>
      <c r="G1" s="2140" t="str">
        <f>Projekt!D10</f>
        <v xml:space="preserve">Musterbaustelle </v>
      </c>
      <c r="H1" s="2140"/>
      <c r="I1" s="2140"/>
      <c r="J1" s="2140"/>
      <c r="K1" s="2140"/>
      <c r="L1" s="2140"/>
      <c r="M1" s="2140"/>
      <c r="N1" s="2140"/>
      <c r="O1" s="2140"/>
      <c r="P1" s="2141"/>
    </row>
    <row r="2" spans="1:16" x14ac:dyDescent="0.4">
      <c r="A2" s="2295"/>
      <c r="B2" s="2264" t="s">
        <v>69</v>
      </c>
      <c r="C2" s="2265"/>
      <c r="D2" s="2265"/>
      <c r="E2" s="2265"/>
      <c r="F2" s="2268" t="str">
        <f>Projekt!D12</f>
        <v>Mittellohnpreis - Musterkalkulation f Hafner, Platten- u Fliesenleger</v>
      </c>
      <c r="G2" s="2268"/>
      <c r="H2" s="2268"/>
      <c r="I2" s="2268"/>
      <c r="J2" s="2269"/>
      <c r="K2" s="2232" t="s">
        <v>32</v>
      </c>
      <c r="L2" s="2233"/>
      <c r="M2" s="2233"/>
      <c r="N2" s="2233"/>
      <c r="O2" s="2233"/>
      <c r="P2" s="2298"/>
    </row>
    <row r="3" spans="1:16" x14ac:dyDescent="0.4">
      <c r="A3" s="2296"/>
      <c r="B3" s="2266"/>
      <c r="C3" s="2267"/>
      <c r="D3" s="2267"/>
      <c r="E3" s="2267"/>
      <c r="F3" s="2270"/>
      <c r="G3" s="2270"/>
      <c r="H3" s="2270"/>
      <c r="I3" s="2270"/>
      <c r="J3" s="2271"/>
      <c r="K3" s="2185" t="str">
        <f ca="1">Projekt!D7</f>
        <v>Nur als Testversion nutzbar!</v>
      </c>
      <c r="L3" s="2186"/>
      <c r="M3" s="2186"/>
      <c r="N3" s="2186"/>
      <c r="O3" s="2186"/>
      <c r="P3" s="2187"/>
    </row>
    <row r="4" spans="1:16" x14ac:dyDescent="0.4">
      <c r="A4" s="2296"/>
      <c r="B4" s="835" t="s">
        <v>252</v>
      </c>
      <c r="C4" s="2256" t="str">
        <f>Projekt!B14</f>
        <v>Musterbaustelle</v>
      </c>
      <c r="D4" s="2256"/>
      <c r="E4" s="2257"/>
      <c r="F4" s="835" t="s">
        <v>253</v>
      </c>
      <c r="G4" s="2256" t="str">
        <f>Projekt!B15</f>
        <v>xxx</v>
      </c>
      <c r="H4" s="2256"/>
      <c r="I4" s="2256"/>
      <c r="J4" s="2257"/>
      <c r="K4" s="2282" t="str">
        <f>IF(Projekt!D8&lt;&gt;0,Projekt!D8,"")</f>
        <v>Musterstraße</v>
      </c>
      <c r="L4" s="2283"/>
      <c r="M4" s="2283"/>
      <c r="N4" s="2283"/>
      <c r="O4" s="2283"/>
      <c r="P4" s="2284"/>
    </row>
    <row r="5" spans="1:16" x14ac:dyDescent="0.4">
      <c r="A5" s="2296"/>
      <c r="B5" s="2285" t="s">
        <v>33</v>
      </c>
      <c r="C5" s="2286"/>
      <c r="D5" s="2286"/>
      <c r="E5" s="9" t="str">
        <f>IF(Projekt!C$18=Projekt!F$18,"X","-")</f>
        <v>X</v>
      </c>
      <c r="F5" s="2215" t="s">
        <v>2</v>
      </c>
      <c r="G5" s="2215"/>
      <c r="H5" s="2215"/>
      <c r="I5" s="2215"/>
      <c r="J5" s="9" t="str">
        <f>IF(Projekt!C$19=Projekt!F$19,"X","-")</f>
        <v>X</v>
      </c>
      <c r="K5" s="2282" t="str">
        <f>IF(Projekt!D9&lt;&gt;0,Projekt!D9,"")</f>
        <v/>
      </c>
      <c r="L5" s="2283"/>
      <c r="M5" s="2283"/>
      <c r="N5" s="2283"/>
      <c r="O5" s="2283"/>
      <c r="P5" s="2284"/>
    </row>
    <row r="6" spans="1:16" x14ac:dyDescent="0.4">
      <c r="A6" s="2296"/>
      <c r="B6" s="2274" t="s">
        <v>34</v>
      </c>
      <c r="C6" s="2275"/>
      <c r="D6" s="2275"/>
      <c r="E6" s="198" t="str">
        <f>IF(Projekt!C$18=Projekt!G$18,"X","-")</f>
        <v>-</v>
      </c>
      <c r="F6" s="2232" t="s">
        <v>3</v>
      </c>
      <c r="G6" s="2233"/>
      <c r="H6" s="2233"/>
      <c r="I6" s="2233"/>
      <c r="J6" s="10" t="str">
        <f>IF(Projekt!C$19=Projekt!G$19,"X","-")</f>
        <v>-</v>
      </c>
      <c r="K6" s="2215" t="s">
        <v>1</v>
      </c>
      <c r="L6" s="2215"/>
      <c r="M6" s="2272">
        <f>Projekt!F14</f>
        <v>45047</v>
      </c>
      <c r="N6" s="2272"/>
      <c r="O6" s="2272"/>
      <c r="P6" s="2273"/>
    </row>
    <row r="7" spans="1:16" x14ac:dyDescent="0.4">
      <c r="A7" s="2296"/>
      <c r="B7" s="2276" t="s">
        <v>176</v>
      </c>
      <c r="C7" s="2277"/>
      <c r="D7" s="2277"/>
      <c r="E7" s="2277"/>
      <c r="F7" s="2278" t="s">
        <v>35</v>
      </c>
      <c r="G7" s="2279"/>
      <c r="H7" s="2279"/>
      <c r="I7" s="2279"/>
      <c r="J7" s="217" t="s">
        <v>251</v>
      </c>
      <c r="K7" s="2280" t="s">
        <v>223</v>
      </c>
      <c r="L7" s="2280"/>
      <c r="M7" s="2280"/>
      <c r="N7" s="2280"/>
      <c r="O7" s="2280"/>
      <c r="P7" s="2281"/>
    </row>
    <row r="8" spans="1:16" ht="15.4" thickBot="1" x14ac:dyDescent="0.45">
      <c r="A8" s="2296"/>
      <c r="B8" s="2209" t="str">
        <f ca="1">Stammdaten!B3</f>
        <v>KollV Hafner, Platten- und Fliesenleger</v>
      </c>
      <c r="C8" s="2210"/>
      <c r="D8" s="2210"/>
      <c r="E8" s="2210"/>
      <c r="F8" s="2210"/>
      <c r="G8" s="2210"/>
      <c r="H8" s="2210"/>
      <c r="I8" s="2210"/>
      <c r="J8" s="2210"/>
      <c r="K8" s="2210"/>
      <c r="L8" s="2211"/>
      <c r="M8" s="2299" t="s">
        <v>36</v>
      </c>
      <c r="N8" s="2300"/>
      <c r="O8" s="2234">
        <f ca="1">Stammdaten!B4</f>
        <v>45047</v>
      </c>
      <c r="P8" s="2235"/>
    </row>
    <row r="9" spans="1:16" x14ac:dyDescent="0.4">
      <c r="A9" s="142">
        <v>1</v>
      </c>
      <c r="B9" s="2287" t="s">
        <v>136</v>
      </c>
      <c r="C9" s="2288"/>
      <c r="D9" s="2288"/>
      <c r="E9" s="2289"/>
      <c r="F9" s="2254" t="s">
        <v>137</v>
      </c>
      <c r="G9" s="2255"/>
      <c r="H9" s="836" t="s">
        <v>37</v>
      </c>
      <c r="I9" s="2181" t="s">
        <v>38</v>
      </c>
      <c r="J9" s="2182"/>
      <c r="K9" s="2183" t="s">
        <v>138</v>
      </c>
      <c r="L9" s="2183"/>
      <c r="M9" s="2183"/>
      <c r="N9" s="2183"/>
      <c r="O9" s="2183"/>
      <c r="P9" s="39">
        <f ca="1">Projekt!C151</f>
        <v>39</v>
      </c>
    </row>
    <row r="10" spans="1:16" x14ac:dyDescent="0.4">
      <c r="A10" s="63" t="s">
        <v>39</v>
      </c>
      <c r="B10" s="2290" t="str">
        <f>IF(Projekt!A23=0,"",Projekt!A23)</f>
        <v>Facharbeiter (&gt; 2Verwendungsjahr)</v>
      </c>
      <c r="C10" s="2291"/>
      <c r="D10" s="2291"/>
      <c r="E10" s="2292"/>
      <c r="F10" s="2184">
        <f ca="1">IFERROR((VLOOKUP(B10,Stammdaten!A$7:D$33,4,FALSE)),"")</f>
        <v>16.36</v>
      </c>
      <c r="G10" s="2184"/>
      <c r="H10" s="291">
        <f>IF(Projekt!F23=0,"",Projekt!F23)</f>
        <v>0.5</v>
      </c>
      <c r="I10" s="2178">
        <f ca="1">IFERROR(IF(PRODUCT(F10,H10)=0,"",F10*H10),"")</f>
        <v>8.18</v>
      </c>
      <c r="J10" s="2179"/>
      <c r="K10" s="2286" t="s">
        <v>232</v>
      </c>
      <c r="L10" s="2286"/>
      <c r="M10" s="2286"/>
      <c r="N10" s="2297"/>
      <c r="O10" s="756" t="s">
        <v>40</v>
      </c>
      <c r="P10" s="8" t="s">
        <v>23</v>
      </c>
    </row>
    <row r="11" spans="1:16" x14ac:dyDescent="0.4">
      <c r="A11" s="63" t="s">
        <v>41</v>
      </c>
      <c r="B11" s="2247" t="str">
        <f>IF(Projekt!A24=0,"",Projekt!A24)</f>
        <v>Qualifizierter Helfer</v>
      </c>
      <c r="C11" s="2248"/>
      <c r="D11" s="2248"/>
      <c r="E11" s="2249"/>
      <c r="F11" s="2178">
        <f ca="1">IFERROR((VLOOKUP(B11,Stammdaten!A$7:D$33,4,FALSE)),"")</f>
        <v>13.92</v>
      </c>
      <c r="G11" s="2179"/>
      <c r="H11" s="291">
        <f>IF(Projekt!F24=0,"",Projekt!F24)</f>
        <v>0.5</v>
      </c>
      <c r="I11" s="2178">
        <f t="shared" ref="I11:I18" ca="1" si="0">IFERROR(IF(PRODUCT(F11,H11)=0,"",F11*H11),"")</f>
        <v>6.96</v>
      </c>
      <c r="J11" s="2214"/>
      <c r="K11" s="2206" t="str">
        <f>IF(Projekt!A153=0,"",Projekt!A153)</f>
        <v/>
      </c>
      <c r="L11" s="2207"/>
      <c r="M11" s="2207"/>
      <c r="N11" s="2208"/>
      <c r="O11" s="223" t="str">
        <f>IF(Projekt!D153=0,"",Projekt!D153)</f>
        <v/>
      </c>
      <c r="P11" s="144" t="str">
        <f>IF(Projekt!C153=0,"",Projekt!C153)</f>
        <v/>
      </c>
    </row>
    <row r="12" spans="1:16" x14ac:dyDescent="0.4">
      <c r="A12" s="63" t="s">
        <v>42</v>
      </c>
      <c r="B12" s="2247" t="str">
        <f>IF(Projekt!A25=0,"",Projekt!A25)</f>
        <v/>
      </c>
      <c r="C12" s="2248"/>
      <c r="D12" s="2248"/>
      <c r="E12" s="2249"/>
      <c r="F12" s="2178" t="str">
        <f ca="1">IFERROR((VLOOKUP(B12,Stammdaten!A$7:D$33,4,FALSE)),"")</f>
        <v/>
      </c>
      <c r="G12" s="2179"/>
      <c r="H12" s="291" t="str">
        <f>IF(Projekt!F25=0,"",Projekt!F25)</f>
        <v/>
      </c>
      <c r="I12" s="2178" t="str">
        <f t="shared" ca="1" si="0"/>
        <v/>
      </c>
      <c r="J12" s="2214"/>
      <c r="K12" s="2185" t="str">
        <f>IF(Projekt!A154=0,"",Projekt!A154)</f>
        <v/>
      </c>
      <c r="L12" s="2186"/>
      <c r="M12" s="2186"/>
      <c r="N12" s="2187"/>
      <c r="O12" s="223" t="str">
        <f>IF(Projekt!D154=0,"",Projekt!D154)</f>
        <v/>
      </c>
      <c r="P12" s="144" t="str">
        <f>IF(Projekt!C154=0,"",Projekt!C154)</f>
        <v/>
      </c>
    </row>
    <row r="13" spans="1:16" x14ac:dyDescent="0.4">
      <c r="A13" s="63" t="s">
        <v>43</v>
      </c>
      <c r="B13" s="2247" t="str">
        <f>IF(Projekt!A26=0,"",Projekt!A26)</f>
        <v/>
      </c>
      <c r="C13" s="2248"/>
      <c r="D13" s="2248"/>
      <c r="E13" s="2249"/>
      <c r="F13" s="2178" t="str">
        <f ca="1">IFERROR((VLOOKUP(B13,Stammdaten!A$7:D$33,4,FALSE)),"")</f>
        <v/>
      </c>
      <c r="G13" s="2179"/>
      <c r="H13" s="291" t="str">
        <f>IF(Projekt!F26=0,"",Projekt!F26)</f>
        <v/>
      </c>
      <c r="I13" s="2178" t="str">
        <f t="shared" ca="1" si="0"/>
        <v/>
      </c>
      <c r="J13" s="2214"/>
      <c r="K13" s="2185" t="str">
        <f>IF(Projekt!A155=0,"",Projekt!A155)</f>
        <v/>
      </c>
      <c r="L13" s="2186"/>
      <c r="M13" s="2186"/>
      <c r="N13" s="2187"/>
      <c r="O13" s="223" t="str">
        <f>IF(Projekt!D155=0,"",Projekt!D155)</f>
        <v/>
      </c>
      <c r="P13" s="144" t="str">
        <f>IF(Projekt!C155=0,"",Projekt!C155)</f>
        <v/>
      </c>
    </row>
    <row r="14" spans="1:16" x14ac:dyDescent="0.4">
      <c r="A14" s="63" t="s">
        <v>44</v>
      </c>
      <c r="B14" s="2247" t="str">
        <f>IF(Projekt!A27=0,"",Projekt!A27)</f>
        <v/>
      </c>
      <c r="C14" s="2248"/>
      <c r="D14" s="2248"/>
      <c r="E14" s="2249"/>
      <c r="F14" s="2178" t="str">
        <f ca="1">IFERROR((VLOOKUP(B14,Stammdaten!A$7:D$33,4,FALSE)),"")</f>
        <v/>
      </c>
      <c r="G14" s="2179"/>
      <c r="H14" s="143" t="str">
        <f>IF(Projekt!F27=0,"",Projekt!F27)</f>
        <v/>
      </c>
      <c r="I14" s="2178" t="str">
        <f t="shared" ca="1" si="0"/>
        <v/>
      </c>
      <c r="J14" s="2214"/>
      <c r="K14" s="2185" t="str">
        <f>IF(Projekt!A156=0,"",Projekt!A156)</f>
        <v/>
      </c>
      <c r="L14" s="2186"/>
      <c r="M14" s="2186"/>
      <c r="N14" s="2187"/>
      <c r="O14" s="223" t="str">
        <f>IF(Projekt!D156=0,"",Projekt!D156)</f>
        <v/>
      </c>
      <c r="P14" s="144" t="str">
        <f>IF(Projekt!C156=0,"",Projekt!C156)</f>
        <v/>
      </c>
    </row>
    <row r="15" spans="1:16" x14ac:dyDescent="0.4">
      <c r="A15" s="63" t="s">
        <v>45</v>
      </c>
      <c r="B15" s="2247" t="str">
        <f>IF(Projekt!A28=0,"",Projekt!A28)</f>
        <v/>
      </c>
      <c r="C15" s="2248"/>
      <c r="D15" s="2248"/>
      <c r="E15" s="2249"/>
      <c r="F15" s="2178" t="str">
        <f ca="1">IFERROR((VLOOKUP(B15,Stammdaten!A$7:D$33,4,FALSE)),"")</f>
        <v/>
      </c>
      <c r="G15" s="2179"/>
      <c r="H15" s="143" t="str">
        <f>IF(Projekt!F28=0,"",Projekt!F28)</f>
        <v/>
      </c>
      <c r="I15" s="2178" t="str">
        <f t="shared" ca="1" si="0"/>
        <v/>
      </c>
      <c r="J15" s="2214"/>
      <c r="K15" s="2185" t="str">
        <f>IF(Projekt!A157=0,"",Projekt!A157)</f>
        <v/>
      </c>
      <c r="L15" s="2186"/>
      <c r="M15" s="2186"/>
      <c r="N15" s="2187"/>
      <c r="O15" s="223" t="str">
        <f>IF(Projekt!D157=0,"",Projekt!D157)</f>
        <v/>
      </c>
      <c r="P15" s="144" t="str">
        <f>IF(Projekt!C157=0,"",Projekt!C157)</f>
        <v/>
      </c>
    </row>
    <row r="16" spans="1:16" x14ac:dyDescent="0.4">
      <c r="A16" s="63" t="s">
        <v>46</v>
      </c>
      <c r="B16" s="2247" t="str">
        <f>IF(Projekt!A29=0,"",Projekt!A29)</f>
        <v/>
      </c>
      <c r="C16" s="2248"/>
      <c r="D16" s="2248"/>
      <c r="E16" s="2249"/>
      <c r="F16" s="2178" t="str">
        <f ca="1">IFERROR((VLOOKUP(B16,Stammdaten!A$7:D$33,4,FALSE)),"")</f>
        <v/>
      </c>
      <c r="G16" s="2179"/>
      <c r="H16" s="143" t="str">
        <f>IF(Projekt!F29=0,"",Projekt!F29)</f>
        <v/>
      </c>
      <c r="I16" s="2178" t="str">
        <f t="shared" ca="1" si="0"/>
        <v/>
      </c>
      <c r="J16" s="2214"/>
      <c r="K16" s="2185"/>
      <c r="L16" s="2186"/>
      <c r="M16" s="2186"/>
      <c r="N16" s="2187"/>
      <c r="O16" s="145"/>
      <c r="P16" s="146"/>
    </row>
    <row r="17" spans="1:16" x14ac:dyDescent="0.4">
      <c r="A17" s="63" t="s">
        <v>47</v>
      </c>
      <c r="B17" s="2247" t="str">
        <f>IF(Projekt!A30=0,"",Projekt!A30)</f>
        <v/>
      </c>
      <c r="C17" s="2248"/>
      <c r="D17" s="2248"/>
      <c r="E17" s="2249"/>
      <c r="F17" s="2178" t="str">
        <f ca="1">IFERROR((VLOOKUP(B17,Stammdaten!A$7:D$33,4,FALSE)),"")</f>
        <v/>
      </c>
      <c r="G17" s="2179"/>
      <c r="H17" s="143" t="str">
        <f>IF(Projekt!F30=0,"",Projekt!F30)</f>
        <v/>
      </c>
      <c r="I17" s="2178" t="str">
        <f t="shared" ca="1" si="0"/>
        <v/>
      </c>
      <c r="J17" s="2214"/>
      <c r="K17" s="2185"/>
      <c r="L17" s="2186"/>
      <c r="M17" s="2186"/>
      <c r="N17" s="2187"/>
      <c r="O17" s="147"/>
      <c r="P17" s="146"/>
    </row>
    <row r="18" spans="1:16" ht="15.4" thickBot="1" x14ac:dyDescent="0.45">
      <c r="A18" s="63" t="s">
        <v>48</v>
      </c>
      <c r="B18" s="2247" t="str">
        <f>IF(Projekt!A31=0,"",Projekt!A31)</f>
        <v/>
      </c>
      <c r="C18" s="2248"/>
      <c r="D18" s="2248"/>
      <c r="E18" s="2249"/>
      <c r="F18" s="2154" t="str">
        <f ca="1">IFERROR((VLOOKUP(B18,Stammdaten!A$7:D$33,4,FALSE)),"")</f>
        <v/>
      </c>
      <c r="G18" s="2155"/>
      <c r="H18" s="143" t="str">
        <f>IF(Projekt!F31=0,"",Projekt!F31)</f>
        <v/>
      </c>
      <c r="I18" s="2154" t="str">
        <f t="shared" ca="1" si="0"/>
        <v/>
      </c>
      <c r="J18" s="2308"/>
      <c r="K18" s="2209"/>
      <c r="L18" s="2210"/>
      <c r="M18" s="2210"/>
      <c r="N18" s="2211"/>
      <c r="O18" s="148"/>
      <c r="P18" s="149"/>
    </row>
    <row r="19" spans="1:16" ht="15.4" thickBot="1" x14ac:dyDescent="0.45">
      <c r="A19" s="63">
        <v>2</v>
      </c>
      <c r="B19" s="2252" t="s">
        <v>49</v>
      </c>
      <c r="C19" s="2253"/>
      <c r="D19" s="2253"/>
      <c r="E19" s="2253"/>
      <c r="F19" s="2253"/>
      <c r="G19" s="2253"/>
      <c r="H19" s="199">
        <f>SUM(H10:H18)</f>
        <v>1</v>
      </c>
      <c r="I19" s="2250">
        <f ca="1">IF(AND(_OK?="OK!",_OK_KV?="OK_KV!"),SUM(I10:J18),Projekt!G32)</f>
        <v>16</v>
      </c>
      <c r="J19" s="2251"/>
      <c r="K19" s="2246" t="s">
        <v>608</v>
      </c>
      <c r="L19" s="2246"/>
      <c r="M19" s="2246"/>
      <c r="N19" s="2246"/>
      <c r="O19" s="2246"/>
      <c r="P19" s="200">
        <f ca="1">P9+SUM(P11:P15)</f>
        <v>39</v>
      </c>
    </row>
    <row r="20" spans="1:16" x14ac:dyDescent="0.4">
      <c r="A20" s="63"/>
      <c r="B20" s="2243"/>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845"/>
      <c r="I21" s="845"/>
      <c r="J21" s="845"/>
      <c r="K21" s="845"/>
      <c r="L21" s="845"/>
      <c r="M21" s="845"/>
      <c r="N21" s="846"/>
      <c r="O21" s="2241">
        <f ca="1">I19/H19</f>
        <v>16</v>
      </c>
      <c r="P21" s="2242"/>
    </row>
    <row r="22" spans="1:16" ht="15.4" thickBot="1" x14ac:dyDescent="0.45">
      <c r="A22" s="63">
        <v>4</v>
      </c>
      <c r="B22" s="2228" t="s">
        <v>50</v>
      </c>
      <c r="C22" s="2229"/>
      <c r="D22" s="2229"/>
      <c r="E22" s="2229"/>
      <c r="F22" s="2229"/>
      <c r="G22" s="2229"/>
      <c r="H22" s="2219" t="s">
        <v>51</v>
      </c>
      <c r="I22" s="2219"/>
      <c r="J22" s="2220"/>
      <c r="K22" s="2293">
        <f ca="1">Projekt!G54</f>
        <v>5.3900000000000003E-2</v>
      </c>
      <c r="L22" s="2294"/>
      <c r="M22" s="2230"/>
      <c r="N22" s="2231"/>
      <c r="O22" s="2174">
        <f ca="1">IF(_OK?="OK!",K22*O21,ROUND(K22*O21,0))</f>
        <v>1</v>
      </c>
      <c r="P22" s="2175"/>
    </row>
    <row r="23" spans="1:16" x14ac:dyDescent="0.4">
      <c r="A23" s="63">
        <v>5</v>
      </c>
      <c r="B23" s="2226" t="s">
        <v>233</v>
      </c>
      <c r="C23" s="2227"/>
      <c r="D23" s="2227"/>
      <c r="E23" s="2227"/>
      <c r="F23" s="2227"/>
      <c r="G23" s="2227"/>
      <c r="H23" s="2221" t="s">
        <v>285</v>
      </c>
      <c r="I23" s="2222"/>
      <c r="J23" s="2222"/>
      <c r="K23" s="2222"/>
      <c r="L23" s="2222"/>
      <c r="M23" s="2222"/>
      <c r="N23" s="2223"/>
      <c r="O23" s="2138">
        <f ca="1">SUM(O21:P22)</f>
        <v>17</v>
      </c>
      <c r="P23" s="2139"/>
    </row>
    <row r="24" spans="1:16" x14ac:dyDescent="0.4">
      <c r="A24" s="63">
        <v>6</v>
      </c>
      <c r="B24" s="2232" t="s">
        <v>139</v>
      </c>
      <c r="C24" s="2233"/>
      <c r="D24" s="2233"/>
      <c r="E24" s="2233"/>
      <c r="F24" s="2233"/>
      <c r="G24" s="2233"/>
      <c r="H24" s="2224" t="s">
        <v>106</v>
      </c>
      <c r="I24" s="2224"/>
      <c r="J24" s="2225"/>
      <c r="K24" s="2236">
        <f ca="1">Projekt!H55</f>
        <v>0.12230000000000001</v>
      </c>
      <c r="L24" s="2237"/>
      <c r="M24" s="2160"/>
      <c r="N24" s="2161"/>
      <c r="O24" s="2178">
        <f ca="1">K24*O23</f>
        <v>2.08</v>
      </c>
      <c r="P24" s="2179"/>
    </row>
    <row r="25" spans="1:16" x14ac:dyDescent="0.4">
      <c r="A25" s="63">
        <v>7</v>
      </c>
      <c r="B25" s="2232" t="s">
        <v>199</v>
      </c>
      <c r="C25" s="2233"/>
      <c r="D25" s="2233"/>
      <c r="E25" s="2233"/>
      <c r="F25" s="2233"/>
      <c r="G25" s="2233"/>
      <c r="H25" s="2224" t="s">
        <v>106</v>
      </c>
      <c r="I25" s="2224"/>
      <c r="J25" s="2225"/>
      <c r="K25" s="2164">
        <f ca="1">Projekt!H96</f>
        <v>0</v>
      </c>
      <c r="L25" s="2165"/>
      <c r="M25" s="2160"/>
      <c r="N25" s="2161"/>
      <c r="O25" s="2178">
        <f ca="1">K25*O23</f>
        <v>0</v>
      </c>
      <c r="P25" s="2179"/>
    </row>
    <row r="26" spans="1:16" x14ac:dyDescent="0.4">
      <c r="A26" s="63">
        <v>8</v>
      </c>
      <c r="B26" s="2232" t="s">
        <v>80</v>
      </c>
      <c r="C26" s="2233"/>
      <c r="D26" s="2233"/>
      <c r="E26" s="2233"/>
      <c r="F26" s="2233"/>
      <c r="G26" s="2233"/>
      <c r="H26" s="2224" t="s">
        <v>106</v>
      </c>
      <c r="I26" s="2224"/>
      <c r="J26" s="2225"/>
      <c r="K26" s="2164">
        <f ca="1">Projekt!H173</f>
        <v>0</v>
      </c>
      <c r="L26" s="2165"/>
      <c r="M26" s="2160"/>
      <c r="N26" s="2161"/>
      <c r="O26" s="2178">
        <f ca="1">K26*O23</f>
        <v>0</v>
      </c>
      <c r="P26" s="2179"/>
    </row>
    <row r="27" spans="1:16" ht="15.4" thickBot="1" x14ac:dyDescent="0.45">
      <c r="A27" s="63">
        <v>9</v>
      </c>
      <c r="B27" s="2216" t="s">
        <v>132</v>
      </c>
      <c r="C27" s="2217"/>
      <c r="D27" s="2217"/>
      <c r="E27" s="2217"/>
      <c r="F27" s="2217"/>
      <c r="G27" s="2217"/>
      <c r="H27" s="2217"/>
      <c r="I27" s="2217"/>
      <c r="J27" s="2217"/>
      <c r="K27" s="2217"/>
      <c r="L27" s="2217"/>
      <c r="M27" s="2217"/>
      <c r="N27" s="2218"/>
      <c r="O27" s="2154">
        <f ca="1">Projekt!H139</f>
        <v>1.21</v>
      </c>
      <c r="P27" s="2155"/>
    </row>
    <row r="28" spans="1:16" x14ac:dyDescent="0.4">
      <c r="A28" s="63">
        <v>10</v>
      </c>
      <c r="B28" s="2226" t="s">
        <v>52</v>
      </c>
      <c r="C28" s="2227"/>
      <c r="D28" s="2227"/>
      <c r="E28" s="2227"/>
      <c r="F28" s="2227"/>
      <c r="G28" s="2227"/>
      <c r="H28" s="2146" t="s">
        <v>286</v>
      </c>
      <c r="I28" s="2146"/>
      <c r="J28" s="2146"/>
      <c r="K28" s="2146"/>
      <c r="L28" s="2146"/>
      <c r="M28" s="2146"/>
      <c r="N28" s="2147"/>
      <c r="O28" s="2138">
        <f ca="1">IF(_OK?="OK!",SUM(O23:P27),ROUND(SUM(O23:P27),0))</f>
        <v>20</v>
      </c>
      <c r="P28" s="2139"/>
    </row>
    <row r="29" spans="1:16" x14ac:dyDescent="0.4">
      <c r="A29" s="63">
        <v>11</v>
      </c>
      <c r="B29" s="2321" t="s">
        <v>133</v>
      </c>
      <c r="C29" s="2322"/>
      <c r="D29" s="2322"/>
      <c r="E29" s="2322"/>
      <c r="F29" s="2322"/>
      <c r="G29" s="2322"/>
      <c r="H29" s="2322"/>
      <c r="I29" s="2322"/>
      <c r="J29" s="2322"/>
      <c r="K29" s="2322"/>
      <c r="L29" s="2322"/>
      <c r="M29" s="2322"/>
      <c r="N29" s="2322"/>
      <c r="O29" s="2178">
        <f ca="1">Projekt!G138</f>
        <v>0.94</v>
      </c>
      <c r="P29" s="2179"/>
    </row>
    <row r="30" spans="1:16" x14ac:dyDescent="0.4">
      <c r="A30" s="63">
        <v>12</v>
      </c>
      <c r="B30" s="2232" t="s">
        <v>53</v>
      </c>
      <c r="C30" s="2233"/>
      <c r="D30" s="2233"/>
      <c r="E30" s="2233"/>
      <c r="F30" s="2233"/>
      <c r="G30" s="2233"/>
      <c r="H30" s="2224" t="s">
        <v>54</v>
      </c>
      <c r="I30" s="2224"/>
      <c r="J30" s="2225"/>
      <c r="K30" s="2164">
        <f ca="1">Projekt!H179</f>
        <v>0.28110000000000002</v>
      </c>
      <c r="L30" s="2165"/>
      <c r="M30" s="2160"/>
      <c r="N30" s="2161"/>
      <c r="O30" s="2178">
        <f ca="1">K30*O28</f>
        <v>5.62</v>
      </c>
      <c r="P30" s="2179"/>
    </row>
    <row r="31" spans="1:16" x14ac:dyDescent="0.4">
      <c r="A31" s="63">
        <v>13</v>
      </c>
      <c r="B31" s="2232" t="s">
        <v>55</v>
      </c>
      <c r="C31" s="2233"/>
      <c r="D31" s="2233"/>
      <c r="E31" s="2233"/>
      <c r="F31" s="2233"/>
      <c r="G31" s="2233"/>
      <c r="H31" s="2224" t="s">
        <v>54</v>
      </c>
      <c r="I31" s="2224"/>
      <c r="J31" s="2225"/>
      <c r="K31" s="2164">
        <f ca="1">Projekt!H198</f>
        <v>0.82350000000000001</v>
      </c>
      <c r="L31" s="2165"/>
      <c r="M31" s="2160"/>
      <c r="N31" s="2161"/>
      <c r="O31" s="2178">
        <f ca="1">K31*O28</f>
        <v>16.47</v>
      </c>
      <c r="P31" s="2179"/>
    </row>
    <row r="32" spans="1:16" ht="15.4" thickBot="1" x14ac:dyDescent="0.45">
      <c r="A32" s="63">
        <v>14</v>
      </c>
      <c r="B32" s="2311" t="s">
        <v>56</v>
      </c>
      <c r="C32" s="2312"/>
      <c r="D32" s="2312"/>
      <c r="E32" s="2312"/>
      <c r="F32" s="2312"/>
      <c r="G32" s="2312"/>
      <c r="H32" s="2313" t="s">
        <v>54</v>
      </c>
      <c r="I32" s="2313"/>
      <c r="J32" s="2314"/>
      <c r="K32" s="2166">
        <f ca="1">Projekt!H211</f>
        <v>0</v>
      </c>
      <c r="L32" s="2167"/>
      <c r="M32" s="2162"/>
      <c r="N32" s="2163"/>
      <c r="O32" s="2154">
        <f ca="1">K32*O28</f>
        <v>0</v>
      </c>
      <c r="P32" s="2155"/>
    </row>
    <row r="33" spans="1:19" x14ac:dyDescent="0.4">
      <c r="A33" s="63">
        <v>15</v>
      </c>
      <c r="B33" s="2226" t="s">
        <v>57</v>
      </c>
      <c r="C33" s="2227"/>
      <c r="D33" s="2227"/>
      <c r="E33" s="2227"/>
      <c r="F33" s="2227"/>
      <c r="G33" s="2227"/>
      <c r="H33" s="2146" t="s">
        <v>135</v>
      </c>
      <c r="I33" s="2146"/>
      <c r="J33" s="2146"/>
      <c r="K33" s="2146"/>
      <c r="L33" s="2146"/>
      <c r="M33" s="2146"/>
      <c r="N33" s="2146"/>
      <c r="O33" s="2138">
        <f ca="1">IF(_OK?="OK!",SUM(O28:P32),ROUND(SUM(O28:P32),0))</f>
        <v>43</v>
      </c>
      <c r="P33" s="2139"/>
    </row>
    <row r="34" spans="1:19" x14ac:dyDescent="0.4">
      <c r="A34" s="63">
        <v>16</v>
      </c>
      <c r="B34" s="2176" t="s">
        <v>58</v>
      </c>
      <c r="C34" s="2177"/>
      <c r="D34" s="2177"/>
      <c r="E34" s="2177"/>
      <c r="F34" s="2177"/>
      <c r="G34" s="2177"/>
      <c r="H34" s="2324" t="s">
        <v>59</v>
      </c>
      <c r="I34" s="2324"/>
      <c r="J34" s="2325"/>
      <c r="K34" s="2158">
        <f ca="1">Projekt!F238</f>
        <v>0.18554999999999999</v>
      </c>
      <c r="L34" s="2159"/>
      <c r="M34" s="2287"/>
      <c r="N34" s="2288"/>
      <c r="O34" s="2148">
        <f ca="1">K34*O33</f>
        <v>7.98</v>
      </c>
      <c r="P34" s="2149"/>
    </row>
    <row r="35" spans="1:19" ht="24.4" customHeight="1" x14ac:dyDescent="0.4">
      <c r="A35" s="63">
        <v>17</v>
      </c>
      <c r="B35" s="2203" t="s">
        <v>110</v>
      </c>
      <c r="C35" s="2204"/>
      <c r="D35" s="2204"/>
      <c r="E35" s="2204"/>
      <c r="F35" s="2204"/>
      <c r="G35" s="2204"/>
      <c r="H35" s="2204"/>
      <c r="I35" s="2204"/>
      <c r="J35" s="2205"/>
      <c r="K35" s="2152" t="s">
        <v>134</v>
      </c>
      <c r="L35" s="2153"/>
      <c r="M35" s="2152" t="str">
        <f>IF(Projekt!F272="Nein","Umlage in €/Std","Umlage in €/Std bzw U% x B15")</f>
        <v>Umlage in €/Std</v>
      </c>
      <c r="N35" s="2153"/>
      <c r="O35" s="2192"/>
      <c r="P35" s="2193"/>
    </row>
    <row r="36" spans="1:19" x14ac:dyDescent="0.4">
      <c r="A36" s="141" t="s">
        <v>60</v>
      </c>
      <c r="B36" s="2206">
        <f>Projekt!A259</f>
        <v>0</v>
      </c>
      <c r="C36" s="2207"/>
      <c r="D36" s="2207"/>
      <c r="E36" s="2207"/>
      <c r="F36" s="2207"/>
      <c r="G36" s="2207"/>
      <c r="H36" s="2207"/>
      <c r="I36" s="2207"/>
      <c r="J36" s="2208"/>
      <c r="K36" s="2198" t="str">
        <f>IF(Projekt!G259=0,"",Projekt!G259)</f>
        <v/>
      </c>
      <c r="L36" s="2199"/>
      <c r="M36" s="2150" t="str">
        <f ca="1">IFERROR(IF(AND(Projekt!F259=0,Projekt!G259=0),"",IF(Projekt!G259&gt;0,Projekt!G259*O$33,IF(Projekt!F259=0,"",Projekt!F259))),"")</f>
        <v/>
      </c>
      <c r="N36" s="2151"/>
      <c r="O36" s="2194"/>
      <c r="P36" s="2195"/>
    </row>
    <row r="37" spans="1:19" x14ac:dyDescent="0.4">
      <c r="A37" s="141" t="s">
        <v>61</v>
      </c>
      <c r="B37" s="2185">
        <f>Projekt!A260</f>
        <v>0</v>
      </c>
      <c r="C37" s="2186"/>
      <c r="D37" s="2186"/>
      <c r="E37" s="2186"/>
      <c r="F37" s="2186"/>
      <c r="G37" s="2186"/>
      <c r="H37" s="2186"/>
      <c r="I37" s="2186"/>
      <c r="J37" s="2187"/>
      <c r="K37" s="2156" t="str">
        <f>IF(Projekt!G260=0,"",Projekt!G260)</f>
        <v/>
      </c>
      <c r="L37" s="2157"/>
      <c r="M37" s="2178" t="str">
        <f ca="1">IFERROR(IF(AND(Projekt!F260=0,Projekt!G260=0),"",IF(Projekt!G260&gt;0,Projekt!G260*O$33,IF(Projekt!F260=0,"",Projekt!F260))),"")</f>
        <v/>
      </c>
      <c r="N37" s="2179"/>
      <c r="O37" s="2194"/>
      <c r="P37" s="2195"/>
    </row>
    <row r="38" spans="1:19" ht="15.4" thickBot="1" x14ac:dyDescent="0.45">
      <c r="A38" s="141" t="s">
        <v>62</v>
      </c>
      <c r="B38" s="2209">
        <f>Projekt!A261</f>
        <v>0</v>
      </c>
      <c r="C38" s="2210"/>
      <c r="D38" s="2210"/>
      <c r="E38" s="2210"/>
      <c r="F38" s="2210"/>
      <c r="G38" s="2210"/>
      <c r="H38" s="2210"/>
      <c r="I38" s="2210"/>
      <c r="J38" s="2211"/>
      <c r="K38" s="2212" t="str">
        <f>IF(Projekt!G261=0,"",Projekt!G261)</f>
        <v/>
      </c>
      <c r="L38" s="2213"/>
      <c r="M38" s="2154" t="str">
        <f ca="1">IFERROR(IF(AND(Projekt!F261=0,Projekt!G261=0),"",IF(Projekt!G261&gt;0,Projekt!G261*O$33,IF(Projekt!F261=0,"",Projekt!F261))),"")</f>
        <v/>
      </c>
      <c r="N38" s="2155"/>
      <c r="O38" s="2196"/>
      <c r="P38" s="2197"/>
      <c r="Q38" s="27"/>
      <c r="R38" s="27"/>
      <c r="S38" s="27"/>
    </row>
    <row r="39" spans="1:19" ht="15.4" thickBot="1" x14ac:dyDescent="0.45">
      <c r="A39" s="64">
        <v>18</v>
      </c>
      <c r="B39" s="850" t="s">
        <v>293</v>
      </c>
      <c r="C39" s="851"/>
      <c r="D39" s="851"/>
      <c r="E39" s="851"/>
      <c r="F39" s="852"/>
      <c r="G39" s="852"/>
      <c r="H39" s="853"/>
      <c r="I39" s="2168" t="s">
        <v>295</v>
      </c>
      <c r="J39" s="2168"/>
      <c r="K39" s="2168"/>
      <c r="L39" s="2169"/>
      <c r="M39" s="2170" t="str">
        <f ca="1">IF(SUM(M36:N38)&gt;0,SUM(M36:N38),"")</f>
        <v/>
      </c>
      <c r="N39" s="2171"/>
      <c r="O39" s="2172">
        <f ca="1">IF(_OK?="OK!",O33+O34,ROUND((O33+O34),0))</f>
        <v>51</v>
      </c>
      <c r="P39" s="2173"/>
      <c r="Q39" s="839"/>
      <c r="R39" s="840"/>
      <c r="S39" s="841"/>
    </row>
    <row r="40" spans="1:19" ht="27.85" customHeight="1" thickBot="1" x14ac:dyDescent="0.45">
      <c r="A40" s="64">
        <v>19</v>
      </c>
      <c r="B40" s="2262" t="s">
        <v>196</v>
      </c>
      <c r="C40" s="2263"/>
      <c r="D40" s="2263"/>
      <c r="E40" s="2263"/>
      <c r="F40" s="2263" t="str">
        <f>" ("&amp;Projekt!C17&amp;" - "&amp;Projekt!C19&amp;")"</f>
        <v xml:space="preserve"> (Mittellohnkosten - Montage)</v>
      </c>
      <c r="G40" s="2263"/>
      <c r="H40" s="2263"/>
      <c r="I40" s="2263"/>
      <c r="J40" s="2307"/>
      <c r="K40" s="2309" t="s">
        <v>289</v>
      </c>
      <c r="L40" s="2323"/>
      <c r="M40" s="838" t="str">
        <f>IF(Projekt!F275=Projekt!D273,"ge-rundet:","")</f>
        <v/>
      </c>
      <c r="N40" s="2142" t="str">
        <f ca="1">IF(Projekt!F271="Ja",TEXT(Q40,"0,00")&amp;" €/Std
("&amp;TEXT(R40,"0,000")&amp;" €/Min)",TEXT(Q40,"0,00")&amp;" €/Std")</f>
        <v>51,00 €/Std</v>
      </c>
      <c r="O40" s="2142"/>
      <c r="P40" s="2143"/>
      <c r="Q40" s="842">
        <f ca="1">IF(Projekt!F275=Projekt!D273,ROUND(SUM(M39:P39),1),SUM(M39:P39))</f>
        <v>51</v>
      </c>
      <c r="R40" s="843">
        <f ca="1">Q40/60</f>
        <v>0.85</v>
      </c>
      <c r="S40" s="27"/>
    </row>
    <row r="41" spans="1:19" ht="15" hidden="1" customHeight="1" x14ac:dyDescent="0.4">
      <c r="A41" s="64"/>
      <c r="B41" s="2" t="s">
        <v>66</v>
      </c>
      <c r="C41" s="6"/>
      <c r="D41" s="6"/>
      <c r="E41" s="6"/>
      <c r="F41" s="6"/>
      <c r="G41" s="6"/>
      <c r="H41" s="7"/>
      <c r="I41" s="1"/>
      <c r="J41" s="31"/>
      <c r="K41" s="5"/>
      <c r="L41" s="5"/>
      <c r="M41" s="34"/>
      <c r="N41" s="35"/>
      <c r="O41" s="35"/>
      <c r="P41" s="36"/>
      <c r="Q41" s="844"/>
      <c r="R41" s="844"/>
      <c r="S41" s="27"/>
    </row>
    <row r="42" spans="1:19" x14ac:dyDescent="0.4">
      <c r="A42" s="64"/>
      <c r="B42" s="2315" t="s">
        <v>65</v>
      </c>
      <c r="C42" s="2316"/>
      <c r="D42" s="2316"/>
      <c r="E42" s="2316"/>
      <c r="F42" s="2316"/>
      <c r="G42" s="2316"/>
      <c r="H42" s="2317"/>
      <c r="I42" s="2188" t="s">
        <v>63</v>
      </c>
      <c r="J42" s="2189"/>
      <c r="K42" s="2188" t="s">
        <v>64</v>
      </c>
      <c r="L42" s="2189"/>
      <c r="M42" s="2200"/>
      <c r="N42" s="2201"/>
      <c r="O42" s="2201"/>
      <c r="P42" s="2202"/>
      <c r="Q42" s="844"/>
      <c r="R42" s="844"/>
      <c r="S42" s="27"/>
    </row>
    <row r="43" spans="1:19" ht="15.4" thickBot="1" x14ac:dyDescent="0.45">
      <c r="A43" s="64">
        <v>20</v>
      </c>
      <c r="B43" s="2318"/>
      <c r="C43" s="2319"/>
      <c r="D43" s="2319"/>
      <c r="E43" s="2319"/>
      <c r="F43" s="2319"/>
      <c r="G43" s="2319"/>
      <c r="H43" s="2320"/>
      <c r="I43" s="2190" t="str">
        <f ca="1">IF(M39="","",Projekt!G267)</f>
        <v/>
      </c>
      <c r="J43" s="2191"/>
      <c r="K43" s="2190">
        <f>Projekt!G266</f>
        <v>0.25802999999999998</v>
      </c>
      <c r="L43" s="2191"/>
      <c r="M43" s="2174" t="str">
        <f ca="1">IFERROR(I43*M39,"")</f>
        <v/>
      </c>
      <c r="N43" s="2175"/>
      <c r="O43" s="2174">
        <f ca="1">IF(_OK?="OK!",K43*O39,ROUND((K43*O39),0))</f>
        <v>13</v>
      </c>
      <c r="P43" s="2175"/>
      <c r="Q43" s="844"/>
      <c r="R43" s="844"/>
      <c r="S43" s="27"/>
    </row>
    <row r="44" spans="1:19" ht="15.4" thickBot="1" x14ac:dyDescent="0.45">
      <c r="A44" s="64">
        <v>21</v>
      </c>
      <c r="B44" s="52" t="s">
        <v>292</v>
      </c>
      <c r="C44" s="854"/>
      <c r="D44" s="854"/>
      <c r="E44" s="854"/>
      <c r="F44" s="854"/>
      <c r="G44" s="855"/>
      <c r="H44" s="54"/>
      <c r="I44" s="2258" t="s">
        <v>291</v>
      </c>
      <c r="J44" s="2258"/>
      <c r="K44" s="2258"/>
      <c r="L44" s="2259"/>
      <c r="M44" s="2260">
        <f ca="1">IFERROR(SUM(M39,M43),"")</f>
        <v>0</v>
      </c>
      <c r="N44" s="2261"/>
      <c r="O44" s="2260">
        <f ca="1">SUM(O39:P43)</f>
        <v>64</v>
      </c>
      <c r="P44" s="2261"/>
      <c r="Q44" s="844"/>
      <c r="R44" s="844"/>
      <c r="S44" s="27"/>
    </row>
    <row r="45" spans="1:19" ht="27.85" customHeight="1" thickBot="1" x14ac:dyDescent="0.45">
      <c r="A45" s="65">
        <v>22</v>
      </c>
      <c r="B45" s="2262" t="s">
        <v>197</v>
      </c>
      <c r="C45" s="2263"/>
      <c r="D45" s="2263"/>
      <c r="E45" s="2263"/>
      <c r="F45" s="2263" t="str">
        <f>" ("&amp;Projekt!F17&amp;" - "&amp;Projekt!C19&amp;")"</f>
        <v xml:space="preserve"> (Mittellohnpreis - Montage)</v>
      </c>
      <c r="G45" s="2263"/>
      <c r="H45" s="2263"/>
      <c r="I45" s="2263"/>
      <c r="J45" s="2307"/>
      <c r="K45" s="2309" t="s">
        <v>290</v>
      </c>
      <c r="L45" s="2310"/>
      <c r="M45" s="838" t="str">
        <f>IF(Projekt!F277=Projekt!D273,"ge-rundet:","")</f>
        <v/>
      </c>
      <c r="N45" s="2142" t="str">
        <f ca="1">IF(Projekt!F271="Ja",TEXT(Q45,"0,00")&amp;" €/Std 
("&amp;TEXT(R45,"0,000")&amp;" €/Min)",TEXT(Q45,"0,00")&amp;" €/Std")</f>
        <v>64,00 €/Std</v>
      </c>
      <c r="O45" s="2142"/>
      <c r="P45" s="2143"/>
      <c r="Q45" s="842">
        <f ca="1">IF(Projekt!F277=Projekt!D273,ROUND(SUM(M44:P44),1),SUM(M44:P44))</f>
        <v>64</v>
      </c>
      <c r="R45" s="843">
        <f ca="1">Q45/60</f>
        <v>1.0669999999999999</v>
      </c>
      <c r="S45" s="27"/>
    </row>
    <row r="46" spans="1:19" hidden="1" x14ac:dyDescent="0.4">
      <c r="A46" s="221"/>
      <c r="B46" s="222" t="s">
        <v>66</v>
      </c>
      <c r="C46" s="1"/>
      <c r="D46" s="1"/>
      <c r="E46" s="1"/>
      <c r="F46" s="1"/>
      <c r="G46" s="1"/>
      <c r="H46" s="1"/>
      <c r="I46" s="1"/>
      <c r="J46" s="7"/>
      <c r="K46" s="7"/>
      <c r="L46" s="27"/>
      <c r="M46" s="29"/>
      <c r="N46" s="29"/>
      <c r="O46" s="28"/>
      <c r="P46" s="224"/>
      <c r="Q46" s="27"/>
      <c r="R46" s="27"/>
      <c r="S46" s="27"/>
    </row>
    <row r="47" spans="1:19" ht="55.9" customHeight="1" x14ac:dyDescent="0.4">
      <c r="A47" s="2144" t="str">
        <f>"Lizenziert für:
"&amp;'Lizenz u lies mich'!B32</f>
        <v>Lizenziert für:
Vers. 3.0</v>
      </c>
      <c r="B47" s="2145"/>
      <c r="C47" s="2145"/>
      <c r="D47" s="2305" t="str">
        <f ca="1">IF(AND(_OK?="OK!",_OK_KV?="OK_KV!"),('Lizenz u lies mich'!B29&amp;" "&amp;'Lizenz u lies mich'!O32),"Keine gültige Lizenz! Nur als Testversion nutzbar!")</f>
        <v>Keine gültige Lizenz! Nur als Testversion nutzbar!</v>
      </c>
      <c r="E47" s="2305"/>
      <c r="F47" s="2305"/>
      <c r="G47" s="2305"/>
      <c r="H47" s="2306"/>
      <c r="I47" s="2304"/>
      <c r="J47" s="2304"/>
      <c r="K47" s="2304"/>
      <c r="L47" s="2304"/>
      <c r="M47" s="2304"/>
      <c r="N47" s="2301" t="s">
        <v>598</v>
      </c>
      <c r="O47" s="2302"/>
      <c r="P47" s="2303"/>
      <c r="Q47" s="27"/>
      <c r="R47" s="27"/>
      <c r="S47" s="27"/>
    </row>
    <row r="48" spans="1:19" x14ac:dyDescent="0.4">
      <c r="Q48" s="27"/>
      <c r="R48" s="27"/>
      <c r="S48" s="27"/>
    </row>
  </sheetData>
  <sheetProtection password="B984" sheet="1" scenarios="1" formatColumns="0" selectLockedCells="1"/>
  <mergeCells count="162">
    <mergeCell ref="N47:P47"/>
    <mergeCell ref="I47:M47"/>
    <mergeCell ref="D47:H47"/>
    <mergeCell ref="O44:P44"/>
    <mergeCell ref="B45:E45"/>
    <mergeCell ref="F45:J45"/>
    <mergeCell ref="F40:J40"/>
    <mergeCell ref="B11:E11"/>
    <mergeCell ref="I18:J18"/>
    <mergeCell ref="K26:L26"/>
    <mergeCell ref="K45:L45"/>
    <mergeCell ref="B30:G30"/>
    <mergeCell ref="B31:G31"/>
    <mergeCell ref="B32:G32"/>
    <mergeCell ref="H30:J30"/>
    <mergeCell ref="H31:J31"/>
    <mergeCell ref="H32:J32"/>
    <mergeCell ref="B42:H43"/>
    <mergeCell ref="B28:G28"/>
    <mergeCell ref="B29:N29"/>
    <mergeCell ref="K40:L40"/>
    <mergeCell ref="H34:J34"/>
    <mergeCell ref="M34:N34"/>
    <mergeCell ref="B33:G33"/>
    <mergeCell ref="A2:A8"/>
    <mergeCell ref="K10:N10"/>
    <mergeCell ref="K16:N16"/>
    <mergeCell ref="K17:N17"/>
    <mergeCell ref="K18:N18"/>
    <mergeCell ref="K14:N14"/>
    <mergeCell ref="I15:J15"/>
    <mergeCell ref="I16:J16"/>
    <mergeCell ref="I17:J17"/>
    <mergeCell ref="B14:E14"/>
    <mergeCell ref="B15:E15"/>
    <mergeCell ref="B16:E16"/>
    <mergeCell ref="F12:G12"/>
    <mergeCell ref="F15:G15"/>
    <mergeCell ref="B8:L8"/>
    <mergeCell ref="K2:P2"/>
    <mergeCell ref="M8:N8"/>
    <mergeCell ref="F13:G13"/>
    <mergeCell ref="B12:E12"/>
    <mergeCell ref="B13:E13"/>
    <mergeCell ref="F14:G14"/>
    <mergeCell ref="I11:J11"/>
    <mergeCell ref="I12:J12"/>
    <mergeCell ref="K11:N11"/>
    <mergeCell ref="K12:N12"/>
    <mergeCell ref="F9:G9"/>
    <mergeCell ref="C4:E4"/>
    <mergeCell ref="I44:L44"/>
    <mergeCell ref="M44:N44"/>
    <mergeCell ref="B40:E40"/>
    <mergeCell ref="B2:E3"/>
    <mergeCell ref="G4:J4"/>
    <mergeCell ref="F2:J3"/>
    <mergeCell ref="M6:P6"/>
    <mergeCell ref="B6:D6"/>
    <mergeCell ref="B7:E7"/>
    <mergeCell ref="F6:I6"/>
    <mergeCell ref="F7:I7"/>
    <mergeCell ref="K7:P7"/>
    <mergeCell ref="K4:P4"/>
    <mergeCell ref="K3:P3"/>
    <mergeCell ref="K5:P5"/>
    <mergeCell ref="B5:D5"/>
    <mergeCell ref="F5:I5"/>
    <mergeCell ref="B9:E9"/>
    <mergeCell ref="B10:E10"/>
    <mergeCell ref="O26:P26"/>
    <mergeCell ref="K22:L22"/>
    <mergeCell ref="I13:J13"/>
    <mergeCell ref="K24:L24"/>
    <mergeCell ref="K25:L25"/>
    <mergeCell ref="M20:N20"/>
    <mergeCell ref="K15:N15"/>
    <mergeCell ref="O20:P20"/>
    <mergeCell ref="O21:P21"/>
    <mergeCell ref="O22:P22"/>
    <mergeCell ref="B20:L20"/>
    <mergeCell ref="K19:O19"/>
    <mergeCell ref="B17:E17"/>
    <mergeCell ref="B18:E18"/>
    <mergeCell ref="F17:G17"/>
    <mergeCell ref="F18:G18"/>
    <mergeCell ref="B24:G24"/>
    <mergeCell ref="I19:J19"/>
    <mergeCell ref="F16:G16"/>
    <mergeCell ref="B19:G19"/>
    <mergeCell ref="O32:P32"/>
    <mergeCell ref="I14:J14"/>
    <mergeCell ref="K6:L6"/>
    <mergeCell ref="O27:P27"/>
    <mergeCell ref="B27:N27"/>
    <mergeCell ref="H22:J22"/>
    <mergeCell ref="H23:N23"/>
    <mergeCell ref="H24:J24"/>
    <mergeCell ref="H25:J25"/>
    <mergeCell ref="H26:J26"/>
    <mergeCell ref="M24:N24"/>
    <mergeCell ref="M25:N25"/>
    <mergeCell ref="M26:N26"/>
    <mergeCell ref="B23:G23"/>
    <mergeCell ref="B22:G22"/>
    <mergeCell ref="M22:N22"/>
    <mergeCell ref="B25:G25"/>
    <mergeCell ref="B26:G26"/>
    <mergeCell ref="O23:P23"/>
    <mergeCell ref="O24:P24"/>
    <mergeCell ref="O25:P25"/>
    <mergeCell ref="O8:P8"/>
    <mergeCell ref="K13:N13"/>
    <mergeCell ref="I10:J10"/>
    <mergeCell ref="B34:G34"/>
    <mergeCell ref="F11:G11"/>
    <mergeCell ref="B1:E1"/>
    <mergeCell ref="I9:J9"/>
    <mergeCell ref="K9:O9"/>
    <mergeCell ref="F10:G10"/>
    <mergeCell ref="O43:P43"/>
    <mergeCell ref="M35:N35"/>
    <mergeCell ref="B37:J37"/>
    <mergeCell ref="M37:N37"/>
    <mergeCell ref="I42:J42"/>
    <mergeCell ref="K42:L42"/>
    <mergeCell ref="I43:J43"/>
    <mergeCell ref="K43:L43"/>
    <mergeCell ref="O35:P38"/>
    <mergeCell ref="K36:L36"/>
    <mergeCell ref="M42:P42"/>
    <mergeCell ref="B35:J35"/>
    <mergeCell ref="B36:J36"/>
    <mergeCell ref="B38:J38"/>
    <mergeCell ref="K38:L38"/>
    <mergeCell ref="O29:P29"/>
    <mergeCell ref="O30:P30"/>
    <mergeCell ref="O31:P31"/>
    <mergeCell ref="O28:P28"/>
    <mergeCell ref="G1:P1"/>
    <mergeCell ref="N40:P40"/>
    <mergeCell ref="N45:P45"/>
    <mergeCell ref="A47:C47"/>
    <mergeCell ref="H28:N28"/>
    <mergeCell ref="O33:P33"/>
    <mergeCell ref="O34:P34"/>
    <mergeCell ref="M36:N36"/>
    <mergeCell ref="K35:L35"/>
    <mergeCell ref="M38:N38"/>
    <mergeCell ref="K37:L37"/>
    <mergeCell ref="K34:L34"/>
    <mergeCell ref="H33:N33"/>
    <mergeCell ref="M30:N30"/>
    <mergeCell ref="M31:N31"/>
    <mergeCell ref="M32:N32"/>
    <mergeCell ref="K30:L30"/>
    <mergeCell ref="K31:L31"/>
    <mergeCell ref="K32:L32"/>
    <mergeCell ref="I39:L39"/>
    <mergeCell ref="M39:N39"/>
    <mergeCell ref="O39:P39"/>
    <mergeCell ref="M43:N43"/>
  </mergeCells>
  <conditionalFormatting sqref="B5:D5">
    <cfRule type="expression" dxfId="67" priority="16">
      <formula>$E$5="X"</formula>
    </cfRule>
  </conditionalFormatting>
  <conditionalFormatting sqref="B6:D6">
    <cfRule type="expression" dxfId="66" priority="15">
      <formula>$E$6="X"</formula>
    </cfRule>
  </conditionalFormatting>
  <conditionalFormatting sqref="F5:I5">
    <cfRule type="expression" dxfId="65" priority="14">
      <formula>$J$5="X"</formula>
    </cfRule>
  </conditionalFormatting>
  <conditionalFormatting sqref="F6:I6">
    <cfRule type="expression" dxfId="64" priority="13">
      <formula>$J$6="X"</formula>
    </cfRule>
  </conditionalFormatting>
  <conditionalFormatting sqref="K3:P5">
    <cfRule type="expression" dxfId="63" priority="10">
      <formula>OR(_OK?&lt;&gt;"OK!",_OK_KV?&lt;&gt;"OK_KV!")</formula>
    </cfRule>
  </conditionalFormatting>
  <conditionalFormatting sqref="B36:J38">
    <cfRule type="expression" dxfId="62" priority="9">
      <formula>$B36=0</formula>
    </cfRule>
  </conditionalFormatting>
  <conditionalFormatting sqref="O21:P21 O23:P23 O28:P28 O33:P33 O39:P39 O43:P44 N45:P45 D47">
    <cfRule type="expression" dxfId="61" priority="7">
      <formula>_OK?&lt;&gt;"OK!"</formula>
    </cfRule>
  </conditionalFormatting>
  <conditionalFormatting sqref="N40:P40 N45:P45">
    <cfRule type="expression" dxfId="60" priority="6">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"Mittelpersonalpreis"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3" id="{4C74D83D-E5B3-49A3-91A1-8B9843C24A0F}">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773490A5-183E-4DE8-831E-AE1BD9B174C6}">
            <xm:f>Projekt!$F$272="Nein"</xm:f>
            <x14:dxf>
              <border>
                <top/>
                <bottom/>
                <vertical/>
                <horizontal/>
              </border>
            </x14:dxf>
          </x14:cfRule>
          <xm:sqref>K25:L26</xm:sqref>
        </x14:conditionalFormatting>
        <x14:conditionalFormatting xmlns:xm="http://schemas.microsoft.com/office/excel/2006/main">
          <x14:cfRule type="expression" priority="1" id="{8F4D9562-1B77-4121-BA19-50165E4289D5}">
            <xm:f>Projekt!$F$272="Nein"</xm:f>
            <x14:dxf>
              <font>
                <color theme="0"/>
              </font>
              <border>
                <left style="thin">
                  <color theme="0"/>
                </left>
                <vertical/>
                <horizontal/>
              </border>
            </x14:dxf>
          </x14:cfRule>
          <xm:sqref>K35:L38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996D-4A7A-49AA-88F0-6649C3D365CA}">
  <sheetPr>
    <tabColor theme="6"/>
  </sheetPr>
  <dimension ref="A1:P47"/>
  <sheetViews>
    <sheetView showGridLines="0" zoomScaleNormal="100" workbookViewId="0">
      <selection activeCell="I47" sqref="I47:M47"/>
    </sheetView>
  </sheetViews>
  <sheetFormatPr baseColWidth="10" defaultRowHeight="15" x14ac:dyDescent="0.4"/>
  <cols>
    <col min="1" max="1" width="2.44140625" style="43" customWidth="1"/>
    <col min="2" max="5" width="4.44140625" customWidth="1"/>
    <col min="6" max="7" width="4.5546875" customWidth="1"/>
    <col min="8" max="8" width="5.5546875" customWidth="1"/>
    <col min="9" max="14" width="4.5546875" customWidth="1"/>
    <col min="15" max="16" width="5.33203125" customWidth="1"/>
  </cols>
  <sheetData>
    <row r="1" spans="1:16" ht="18" x14ac:dyDescent="0.55000000000000004">
      <c r="A1" s="185" t="s">
        <v>29</v>
      </c>
      <c r="B1" s="2180" t="s">
        <v>30</v>
      </c>
      <c r="C1" s="2180"/>
      <c r="D1" s="2180"/>
      <c r="E1" s="2180"/>
      <c r="F1" s="206" t="s">
        <v>294</v>
      </c>
      <c r="G1" s="2342" t="str">
        <f>Projekt!D10</f>
        <v xml:space="preserve">Musterbaustelle </v>
      </c>
      <c r="H1" s="2342"/>
      <c r="I1" s="2342"/>
      <c r="J1" s="2342"/>
      <c r="K1" s="2342"/>
      <c r="L1" s="2342"/>
      <c r="M1" s="2342"/>
      <c r="N1" s="2342"/>
      <c r="O1" s="2342"/>
      <c r="P1" s="2343"/>
    </row>
    <row r="2" spans="1:16" x14ac:dyDescent="0.4">
      <c r="A2" s="2326"/>
      <c r="B2" s="2264" t="s">
        <v>69</v>
      </c>
      <c r="C2" s="2265"/>
      <c r="D2" s="2265"/>
      <c r="E2" s="2265"/>
      <c r="F2" s="2328" t="str">
        <f>Projekt!D290</f>
        <v>Regie Facharbeiter</v>
      </c>
      <c r="G2" s="2328"/>
      <c r="H2" s="2328"/>
      <c r="I2" s="2328"/>
      <c r="J2" s="2329"/>
      <c r="K2" s="2232" t="s">
        <v>32</v>
      </c>
      <c r="L2" s="2233"/>
      <c r="M2" s="2233"/>
      <c r="N2" s="2233"/>
      <c r="O2" s="2233"/>
      <c r="P2" s="2298"/>
    </row>
    <row r="3" spans="1:16" x14ac:dyDescent="0.4">
      <c r="A3" s="2327"/>
      <c r="B3" s="2266"/>
      <c r="C3" s="2267"/>
      <c r="D3" s="2267"/>
      <c r="E3" s="2267"/>
      <c r="F3" s="2330"/>
      <c r="G3" s="2330"/>
      <c r="H3" s="2330"/>
      <c r="I3" s="2330"/>
      <c r="J3" s="2331"/>
      <c r="K3" s="2185" t="str">
        <f ca="1">Projekt!D7</f>
        <v>Nur als Testversion nutzbar!</v>
      </c>
      <c r="L3" s="2186"/>
      <c r="M3" s="2186"/>
      <c r="N3" s="2186"/>
      <c r="O3" s="2186"/>
      <c r="P3" s="2187"/>
    </row>
    <row r="4" spans="1:16" x14ac:dyDescent="0.4">
      <c r="A4" s="2327"/>
      <c r="B4" s="139" t="s">
        <v>252</v>
      </c>
      <c r="C4" s="2332" t="str">
        <f>Projekt!B14</f>
        <v>Musterbaustelle</v>
      </c>
      <c r="D4" s="2332"/>
      <c r="E4" s="2333"/>
      <c r="F4" s="171" t="s">
        <v>253</v>
      </c>
      <c r="G4" s="2334" t="str">
        <f>Projekt!B15</f>
        <v>xxx</v>
      </c>
      <c r="H4" s="2334"/>
      <c r="I4" s="2334"/>
      <c r="J4" s="2335"/>
      <c r="K4" s="2282" t="str">
        <f>IF(Projekt!D8&lt;&gt;0,Projekt!D8,"")</f>
        <v>Musterstraße</v>
      </c>
      <c r="L4" s="2283"/>
      <c r="M4" s="2283"/>
      <c r="N4" s="2283"/>
      <c r="O4" s="2283"/>
      <c r="P4" s="2284"/>
    </row>
    <row r="5" spans="1:16" x14ac:dyDescent="0.4">
      <c r="A5" s="2327"/>
      <c r="B5" s="2285" t="s">
        <v>33</v>
      </c>
      <c r="C5" s="2286"/>
      <c r="D5" s="2286"/>
      <c r="E5" s="9" t="str">
        <f>IF(Projekt!C$18=Projekt!F$18,"X","-")</f>
        <v>X</v>
      </c>
      <c r="F5" s="2215" t="s">
        <v>2</v>
      </c>
      <c r="G5" s="2215"/>
      <c r="H5" s="2215"/>
      <c r="I5" s="2215"/>
      <c r="J5" s="218" t="str">
        <f>IF(Projekt!C$19=Projekt!F$19,"X","-")</f>
        <v>X</v>
      </c>
      <c r="K5" s="2282" t="str">
        <f>IF(Projekt!D9&lt;&gt;0,Projekt!D9,"")</f>
        <v/>
      </c>
      <c r="L5" s="2283"/>
      <c r="M5" s="2283"/>
      <c r="N5" s="2283"/>
      <c r="O5" s="2283"/>
      <c r="P5" s="2284"/>
    </row>
    <row r="6" spans="1:16" x14ac:dyDescent="0.4">
      <c r="A6" s="2327"/>
      <c r="B6" s="2274" t="s">
        <v>34</v>
      </c>
      <c r="C6" s="2275"/>
      <c r="D6" s="2275"/>
      <c r="E6" s="219" t="str">
        <f>IF(Projekt!C$18=Projekt!G$18,"X","-")</f>
        <v>-</v>
      </c>
      <c r="F6" s="2232" t="s">
        <v>3</v>
      </c>
      <c r="G6" s="2233"/>
      <c r="H6" s="2233"/>
      <c r="I6" s="2233"/>
      <c r="J6" s="10" t="str">
        <f>IF(Projekt!C$19=Projekt!G$19,"X","-")</f>
        <v>-</v>
      </c>
      <c r="K6" s="2215" t="s">
        <v>1</v>
      </c>
      <c r="L6" s="2215"/>
      <c r="M6" s="2340">
        <f>Projekt!F14</f>
        <v>45047</v>
      </c>
      <c r="N6" s="2340"/>
      <c r="O6" s="2340"/>
      <c r="P6" s="2341"/>
    </row>
    <row r="7" spans="1:16" x14ac:dyDescent="0.4">
      <c r="A7" s="2327"/>
      <c r="B7" s="2243" t="s">
        <v>176</v>
      </c>
      <c r="C7" s="2244"/>
      <c r="D7" s="2244"/>
      <c r="E7" s="2244"/>
      <c r="F7" s="2336" t="s">
        <v>35</v>
      </c>
      <c r="G7" s="2337"/>
      <c r="H7" s="2337"/>
      <c r="I7" s="2337"/>
      <c r="J7" s="217" t="s">
        <v>9</v>
      </c>
      <c r="K7" s="2280" t="s">
        <v>223</v>
      </c>
      <c r="L7" s="2280"/>
      <c r="M7" s="2280"/>
      <c r="N7" s="2280"/>
      <c r="O7" s="2280"/>
      <c r="P7" s="2281"/>
    </row>
    <row r="8" spans="1:16" ht="15.4" thickBot="1" x14ac:dyDescent="0.45">
      <c r="A8" s="2327"/>
      <c r="B8" s="2344" t="str">
        <f ca="1">Stammdaten!B3</f>
        <v>KollV Hafner, Platten- und Fliesenleger</v>
      </c>
      <c r="C8" s="2345"/>
      <c r="D8" s="2345"/>
      <c r="E8" s="2345"/>
      <c r="F8" s="2345"/>
      <c r="G8" s="2345"/>
      <c r="H8" s="2345"/>
      <c r="I8" s="2345"/>
      <c r="J8" s="2345"/>
      <c r="K8" s="2345"/>
      <c r="L8" s="2346"/>
      <c r="M8" s="2299" t="s">
        <v>36</v>
      </c>
      <c r="N8" s="2300"/>
      <c r="O8" s="2338">
        <f ca="1">Stammdaten!B4</f>
        <v>45047</v>
      </c>
      <c r="P8" s="2339"/>
    </row>
    <row r="9" spans="1:16" x14ac:dyDescent="0.4">
      <c r="A9" s="142">
        <v>1</v>
      </c>
      <c r="B9" s="2287" t="s">
        <v>136</v>
      </c>
      <c r="C9" s="2288"/>
      <c r="D9" s="2288"/>
      <c r="E9" s="2289"/>
      <c r="F9" s="2254" t="s">
        <v>137</v>
      </c>
      <c r="G9" s="2255"/>
      <c r="H9" s="140" t="s">
        <v>37</v>
      </c>
      <c r="I9" s="2181" t="s">
        <v>38</v>
      </c>
      <c r="J9" s="2182"/>
      <c r="K9" s="2183" t="s">
        <v>138</v>
      </c>
      <c r="L9" s="2183"/>
      <c r="M9" s="2183"/>
      <c r="N9" s="2183"/>
      <c r="O9" s="2183"/>
      <c r="P9" s="39">
        <f ca="1">Projekt!C151</f>
        <v>39</v>
      </c>
    </row>
    <row r="10" spans="1:16" x14ac:dyDescent="0.4">
      <c r="A10" s="63" t="s">
        <v>39</v>
      </c>
      <c r="B10" s="2355" t="str">
        <f>Projekt!A293</f>
        <v>Facharbeiter (&gt; 2Verwendungsjahr)</v>
      </c>
      <c r="C10" s="2355"/>
      <c r="D10" s="2355"/>
      <c r="E10" s="2356"/>
      <c r="F10" s="2357">
        <f ca="1">IFERROR((VLOOKUP(B10,Stammdaten!A$7:D$33,4,FALSE)),"")</f>
        <v>16.36</v>
      </c>
      <c r="G10" s="2357"/>
      <c r="H10" s="41">
        <f>Projekt!F293</f>
        <v>1</v>
      </c>
      <c r="I10" s="2358">
        <f ca="1">IF(PRODUCT(F10,H10)=0,"",F10*H10)</f>
        <v>16.36</v>
      </c>
      <c r="J10" s="2359"/>
      <c r="K10" s="2279" t="s">
        <v>232</v>
      </c>
      <c r="L10" s="2279"/>
      <c r="M10" s="2279"/>
      <c r="N10" s="2360"/>
      <c r="O10" s="40" t="s">
        <v>40</v>
      </c>
      <c r="P10" s="8" t="s">
        <v>23</v>
      </c>
    </row>
    <row r="11" spans="1:16" x14ac:dyDescent="0.4">
      <c r="A11" s="63" t="s">
        <v>41</v>
      </c>
      <c r="B11" s="2347"/>
      <c r="C11" s="2347"/>
      <c r="D11" s="2347"/>
      <c r="E11" s="2348"/>
      <c r="F11" s="2349"/>
      <c r="G11" s="2349"/>
      <c r="H11" s="44"/>
      <c r="I11" s="2350"/>
      <c r="J11" s="2351"/>
      <c r="K11" s="2361" t="str">
        <f>IF(Projekt!F315=1,Projekt!B316,"Regiestunde")</f>
        <v>Regiestunde</v>
      </c>
      <c r="L11" s="2362"/>
      <c r="M11" s="2362"/>
      <c r="N11" s="2362"/>
      <c r="O11" s="388" t="str">
        <f>IF(Projekt!F315=1,Projekt!E316,"")</f>
        <v/>
      </c>
      <c r="P11" s="389">
        <v>1</v>
      </c>
    </row>
    <row r="12" spans="1:16" x14ac:dyDescent="0.4">
      <c r="A12" s="63" t="s">
        <v>42</v>
      </c>
      <c r="B12" s="2347"/>
      <c r="C12" s="2347"/>
      <c r="D12" s="2347"/>
      <c r="E12" s="2348"/>
      <c r="F12" s="2349"/>
      <c r="G12" s="2349"/>
      <c r="H12" s="44"/>
      <c r="I12" s="2350"/>
      <c r="J12" s="2351"/>
      <c r="K12" s="2352" t="str">
        <f>IF(Projekt!F319=1,Projekt!B320,IF(Projekt!F323=1,Projekt!B324,""))</f>
        <v/>
      </c>
      <c r="L12" s="2353"/>
      <c r="M12" s="2353"/>
      <c r="N12" s="2354"/>
      <c r="O12" s="390" t="str">
        <f>IF(Projekt!F319=1,Projekt!E320,"")</f>
        <v/>
      </c>
      <c r="P12" s="392"/>
    </row>
    <row r="13" spans="1:16" x14ac:dyDescent="0.4">
      <c r="A13" s="63" t="s">
        <v>43</v>
      </c>
      <c r="B13" s="2347"/>
      <c r="C13" s="2347"/>
      <c r="D13" s="2347"/>
      <c r="E13" s="2348"/>
      <c r="F13" s="2349"/>
      <c r="G13" s="2349"/>
      <c r="H13" s="44"/>
      <c r="I13" s="2350"/>
      <c r="J13" s="2351"/>
      <c r="K13" s="2363"/>
      <c r="L13" s="2363"/>
      <c r="M13" s="2363"/>
      <c r="N13" s="2364"/>
      <c r="O13" s="45"/>
      <c r="P13" s="46"/>
    </row>
    <row r="14" spans="1:16" x14ac:dyDescent="0.4">
      <c r="A14" s="63" t="s">
        <v>44</v>
      </c>
      <c r="B14" s="2347"/>
      <c r="C14" s="2347"/>
      <c r="D14" s="2347"/>
      <c r="E14" s="2348"/>
      <c r="F14" s="2349"/>
      <c r="G14" s="2349"/>
      <c r="H14" s="44"/>
      <c r="I14" s="2350"/>
      <c r="J14" s="2351"/>
      <c r="K14" s="2363"/>
      <c r="L14" s="2363"/>
      <c r="M14" s="2363"/>
      <c r="N14" s="2364"/>
      <c r="O14" s="45"/>
      <c r="P14" s="46"/>
    </row>
    <row r="15" spans="1:16" x14ac:dyDescent="0.4">
      <c r="A15" s="63" t="s">
        <v>45</v>
      </c>
      <c r="B15" s="2347"/>
      <c r="C15" s="2347"/>
      <c r="D15" s="2347"/>
      <c r="E15" s="2348"/>
      <c r="F15" s="2349"/>
      <c r="G15" s="2349"/>
      <c r="H15" s="44"/>
      <c r="I15" s="2350"/>
      <c r="J15" s="2351"/>
      <c r="K15" s="2363"/>
      <c r="L15" s="2363"/>
      <c r="M15" s="2363"/>
      <c r="N15" s="2364"/>
      <c r="O15" s="45"/>
      <c r="P15" s="46"/>
    </row>
    <row r="16" spans="1:16" x14ac:dyDescent="0.4">
      <c r="A16" s="63" t="s">
        <v>46</v>
      </c>
      <c r="B16" s="2347"/>
      <c r="C16" s="2347"/>
      <c r="D16" s="2347"/>
      <c r="E16" s="2348"/>
      <c r="F16" s="2349"/>
      <c r="G16" s="2349"/>
      <c r="H16" s="44"/>
      <c r="I16" s="2350"/>
      <c r="J16" s="2351"/>
      <c r="K16" s="2374"/>
      <c r="L16" s="2374"/>
      <c r="M16" s="2374"/>
      <c r="N16" s="2375"/>
      <c r="O16" s="47"/>
      <c r="P16" s="48"/>
    </row>
    <row r="17" spans="1:16" x14ac:dyDescent="0.4">
      <c r="A17" s="63" t="s">
        <v>47</v>
      </c>
      <c r="B17" s="2347"/>
      <c r="C17" s="2347"/>
      <c r="D17" s="2347"/>
      <c r="E17" s="2348"/>
      <c r="F17" s="2349"/>
      <c r="G17" s="2349"/>
      <c r="H17" s="44"/>
      <c r="I17" s="2350"/>
      <c r="J17" s="2351"/>
      <c r="K17" s="2374"/>
      <c r="L17" s="2374"/>
      <c r="M17" s="2374"/>
      <c r="N17" s="2375"/>
      <c r="O17" s="47"/>
      <c r="P17" s="48"/>
    </row>
    <row r="18" spans="1:16" ht="15.4" thickBot="1" x14ac:dyDescent="0.45">
      <c r="A18" s="63" t="s">
        <v>48</v>
      </c>
      <c r="B18" s="2365"/>
      <c r="C18" s="2366"/>
      <c r="D18" s="2366"/>
      <c r="E18" s="2367"/>
      <c r="F18" s="2368"/>
      <c r="G18" s="2368"/>
      <c r="H18" s="49"/>
      <c r="I18" s="2369"/>
      <c r="J18" s="2370"/>
      <c r="K18" s="2371"/>
      <c r="L18" s="2371"/>
      <c r="M18" s="2371"/>
      <c r="N18" s="2372"/>
      <c r="O18" s="50"/>
      <c r="P18" s="51"/>
    </row>
    <row r="19" spans="1:16" ht="15.4" thickBot="1" x14ac:dyDescent="0.45">
      <c r="A19" s="63">
        <v>2</v>
      </c>
      <c r="B19" s="201" t="s">
        <v>49</v>
      </c>
      <c r="C19" s="37"/>
      <c r="D19" s="38"/>
      <c r="E19" s="38"/>
      <c r="F19" s="38"/>
      <c r="G19" s="38"/>
      <c r="H19" s="199">
        <f>SUM(H10:H18)</f>
        <v>1</v>
      </c>
      <c r="I19" s="2250">
        <f ca="1">IF(AND(_OK?="OK!",_OK_KV?="OK_KV!"),SUM(I10:J18),Projekt!G294)</f>
        <v>17</v>
      </c>
      <c r="J19" s="2251"/>
      <c r="K19" s="2373" t="s">
        <v>234</v>
      </c>
      <c r="L19" s="2373"/>
      <c r="M19" s="2373"/>
      <c r="N19" s="2373"/>
      <c r="O19" s="2373"/>
      <c r="P19" s="33">
        <f>Projekt!H314</f>
        <v>1</v>
      </c>
    </row>
    <row r="20" spans="1:16" x14ac:dyDescent="0.4">
      <c r="A20" s="63"/>
      <c r="B20" s="2244"/>
      <c r="C20" s="2244"/>
      <c r="D20" s="2244"/>
      <c r="E20" s="2244"/>
      <c r="F20" s="2244"/>
      <c r="G20" s="2244"/>
      <c r="H20" s="2244"/>
      <c r="I20" s="2244"/>
      <c r="J20" s="2244"/>
      <c r="K20" s="2244"/>
      <c r="L20" s="2245"/>
      <c r="M20" s="2238" t="s">
        <v>10</v>
      </c>
      <c r="N20" s="2239"/>
      <c r="O20" s="2240" t="s">
        <v>11</v>
      </c>
      <c r="P20" s="2239"/>
    </row>
    <row r="21" spans="1:16" x14ac:dyDescent="0.4">
      <c r="A21" s="63">
        <v>3</v>
      </c>
      <c r="B21" s="279" t="s">
        <v>49</v>
      </c>
      <c r="C21" s="280"/>
      <c r="D21" s="280"/>
      <c r="E21" s="280"/>
      <c r="F21" s="280"/>
      <c r="G21" s="280"/>
      <c r="H21" s="2376"/>
      <c r="I21" s="2376"/>
      <c r="J21" s="2376"/>
      <c r="K21" s="2376"/>
      <c r="L21" s="2376"/>
      <c r="M21" s="2376"/>
      <c r="N21" s="2377"/>
      <c r="O21" s="2241">
        <f ca="1">I19/H19</f>
        <v>17</v>
      </c>
      <c r="P21" s="2242"/>
    </row>
    <row r="22" spans="1:16" ht="15.4" thickBot="1" x14ac:dyDescent="0.45">
      <c r="A22" s="63">
        <v>4</v>
      </c>
      <c r="B22" s="2228" t="s">
        <v>50</v>
      </c>
      <c r="C22" s="2229"/>
      <c r="D22" s="2229"/>
      <c r="E22" s="2229"/>
      <c r="F22" s="2229"/>
      <c r="G22" s="2229"/>
      <c r="H22" s="2378" t="s">
        <v>51</v>
      </c>
      <c r="I22" s="2378"/>
      <c r="J22" s="2379"/>
      <c r="K22" s="2166">
        <f ca="1">Projekt!G306</f>
        <v>0</v>
      </c>
      <c r="L22" s="2167"/>
      <c r="M22" s="2380"/>
      <c r="N22" s="2381"/>
      <c r="O22" s="2174">
        <f ca="1">K22*O21</f>
        <v>0</v>
      </c>
      <c r="P22" s="2175"/>
    </row>
    <row r="23" spans="1:16" x14ac:dyDescent="0.4">
      <c r="A23" s="63">
        <v>5</v>
      </c>
      <c r="B23" s="2226" t="s">
        <v>233</v>
      </c>
      <c r="C23" s="2227"/>
      <c r="D23" s="2227"/>
      <c r="E23" s="2227"/>
      <c r="F23" s="2227"/>
      <c r="G23" s="2227"/>
      <c r="H23" s="2382" t="s">
        <v>284</v>
      </c>
      <c r="I23" s="2146"/>
      <c r="J23" s="2146"/>
      <c r="K23" s="2146"/>
      <c r="L23" s="2146"/>
      <c r="M23" s="2146"/>
      <c r="N23" s="282"/>
      <c r="O23" s="2138">
        <f ca="1">SUM(O21:O22)</f>
        <v>17</v>
      </c>
      <c r="P23" s="2139"/>
    </row>
    <row r="24" spans="1:16" x14ac:dyDescent="0.4">
      <c r="A24" s="63">
        <v>6</v>
      </c>
      <c r="B24" s="2233" t="s">
        <v>139</v>
      </c>
      <c r="C24" s="2233"/>
      <c r="D24" s="2233"/>
      <c r="E24" s="2233"/>
      <c r="F24" s="2233"/>
      <c r="G24" s="2233"/>
      <c r="H24" s="2224" t="s">
        <v>106</v>
      </c>
      <c r="I24" s="2224"/>
      <c r="J24" s="2225"/>
      <c r="K24" s="2236">
        <f ca="1">Projekt!H306</f>
        <v>0.14410000000000001</v>
      </c>
      <c r="L24" s="2237"/>
      <c r="M24" s="2160"/>
      <c r="N24" s="2161"/>
      <c r="O24" s="2178">
        <f ca="1">K24*O23</f>
        <v>2.4500000000000002</v>
      </c>
      <c r="P24" s="2179"/>
    </row>
    <row r="25" spans="1:16" x14ac:dyDescent="0.4">
      <c r="A25" s="63">
        <v>7</v>
      </c>
      <c r="B25" s="2233" t="s">
        <v>199</v>
      </c>
      <c r="C25" s="2233"/>
      <c r="D25" s="2233"/>
      <c r="E25" s="2233"/>
      <c r="F25" s="2233"/>
      <c r="G25" s="2233"/>
      <c r="H25" s="2224" t="s">
        <v>106</v>
      </c>
      <c r="I25" s="2224"/>
      <c r="J25" s="2225"/>
      <c r="K25" s="2164">
        <f>Projekt!H313</f>
        <v>0</v>
      </c>
      <c r="L25" s="2165"/>
      <c r="M25" s="2160"/>
      <c r="N25" s="2161"/>
      <c r="O25" s="2178">
        <f ca="1">K25*O23</f>
        <v>0</v>
      </c>
      <c r="P25" s="2179"/>
    </row>
    <row r="26" spans="1:16" x14ac:dyDescent="0.4">
      <c r="A26" s="63">
        <v>8</v>
      </c>
      <c r="B26" s="2233" t="s">
        <v>80</v>
      </c>
      <c r="C26" s="2233"/>
      <c r="D26" s="2233"/>
      <c r="E26" s="2233"/>
      <c r="F26" s="2233"/>
      <c r="G26" s="2233"/>
      <c r="H26" s="2224" t="s">
        <v>106</v>
      </c>
      <c r="I26" s="2224"/>
      <c r="J26" s="2225"/>
      <c r="K26" s="2164">
        <f>IF(Projekt!H325="",0,Projekt!H325)</f>
        <v>0</v>
      </c>
      <c r="L26" s="2165"/>
      <c r="M26" s="2160"/>
      <c r="N26" s="2161"/>
      <c r="O26" s="2178">
        <f ca="1">K26*O23</f>
        <v>0</v>
      </c>
      <c r="P26" s="2179"/>
    </row>
    <row r="27" spans="1:16" ht="15.4" thickBot="1" x14ac:dyDescent="0.45">
      <c r="A27" s="63">
        <v>9</v>
      </c>
      <c r="B27" s="2216" t="s">
        <v>132</v>
      </c>
      <c r="C27" s="2217"/>
      <c r="D27" s="2217"/>
      <c r="E27" s="2217"/>
      <c r="F27" s="2217"/>
      <c r="G27" s="2217"/>
      <c r="H27" s="2217"/>
      <c r="I27" s="2217"/>
      <c r="J27" s="2217"/>
      <c r="K27" s="2217"/>
      <c r="L27" s="2217"/>
      <c r="M27" s="2217"/>
      <c r="N27" s="2218"/>
      <c r="O27" s="2154">
        <f ca="1">Projekt!H326</f>
        <v>1.21</v>
      </c>
      <c r="P27" s="2155"/>
    </row>
    <row r="28" spans="1:16" x14ac:dyDescent="0.4">
      <c r="A28" s="63">
        <v>10</v>
      </c>
      <c r="B28" s="2226" t="s">
        <v>52</v>
      </c>
      <c r="C28" s="2227"/>
      <c r="D28" s="2227"/>
      <c r="E28" s="2227"/>
      <c r="F28" s="2227"/>
      <c r="G28" s="2227"/>
      <c r="H28" s="2382" t="s">
        <v>287</v>
      </c>
      <c r="I28" s="2146"/>
      <c r="J28" s="2146"/>
      <c r="K28" s="2146"/>
      <c r="L28" s="2146"/>
      <c r="M28" s="2146"/>
      <c r="N28" s="281"/>
      <c r="O28" s="2138">
        <f ca="1">SUM(O23:P27)</f>
        <v>20.66</v>
      </c>
      <c r="P28" s="2139"/>
    </row>
    <row r="29" spans="1:16" x14ac:dyDescent="0.4">
      <c r="A29" s="63">
        <v>11</v>
      </c>
      <c r="B29" s="2322" t="s">
        <v>133</v>
      </c>
      <c r="C29" s="2322"/>
      <c r="D29" s="2322"/>
      <c r="E29" s="2322"/>
      <c r="F29" s="2322"/>
      <c r="G29" s="2322"/>
      <c r="H29" s="2322"/>
      <c r="I29" s="2322"/>
      <c r="J29" s="2322"/>
      <c r="K29" s="2322"/>
      <c r="L29" s="2322"/>
      <c r="M29" s="2322"/>
      <c r="N29" s="2322"/>
      <c r="O29" s="2178">
        <f ca="1">Projekt!H327</f>
        <v>0.94</v>
      </c>
      <c r="P29" s="2179"/>
    </row>
    <row r="30" spans="1:16" x14ac:dyDescent="0.4">
      <c r="A30" s="63">
        <v>12</v>
      </c>
      <c r="B30" s="2233" t="s">
        <v>53</v>
      </c>
      <c r="C30" s="2233"/>
      <c r="D30" s="2233"/>
      <c r="E30" s="2233"/>
      <c r="F30" s="2233"/>
      <c r="G30" s="2233"/>
      <c r="H30" s="2224" t="s">
        <v>54</v>
      </c>
      <c r="I30" s="2224"/>
      <c r="J30" s="2225"/>
      <c r="K30" s="2164">
        <f ca="1">Projekt!H328</f>
        <v>0.28110000000000002</v>
      </c>
      <c r="L30" s="2165"/>
      <c r="M30" s="2160"/>
      <c r="N30" s="2161"/>
      <c r="O30" s="2178">
        <f ca="1">K30*O28</f>
        <v>5.81</v>
      </c>
      <c r="P30" s="2179"/>
    </row>
    <row r="31" spans="1:16" x14ac:dyDescent="0.4">
      <c r="A31" s="63">
        <v>13</v>
      </c>
      <c r="B31" s="2233" t="s">
        <v>55</v>
      </c>
      <c r="C31" s="2233"/>
      <c r="D31" s="2233"/>
      <c r="E31" s="2233"/>
      <c r="F31" s="2233"/>
      <c r="G31" s="2233"/>
      <c r="H31" s="2224" t="s">
        <v>54</v>
      </c>
      <c r="I31" s="2224"/>
      <c r="J31" s="2225"/>
      <c r="K31" s="2164">
        <f ca="1">Projekt!H329</f>
        <v>0.82350000000000001</v>
      </c>
      <c r="L31" s="2165"/>
      <c r="M31" s="2160"/>
      <c r="N31" s="2161"/>
      <c r="O31" s="2178">
        <f ca="1">K31*O28</f>
        <v>17.010000000000002</v>
      </c>
      <c r="P31" s="2179"/>
    </row>
    <row r="32" spans="1:16" ht="15.4" thickBot="1" x14ac:dyDescent="0.45">
      <c r="A32" s="63">
        <v>14</v>
      </c>
      <c r="B32" s="2311" t="s">
        <v>56</v>
      </c>
      <c r="C32" s="2312"/>
      <c r="D32" s="2312"/>
      <c r="E32" s="2312"/>
      <c r="F32" s="2312"/>
      <c r="G32" s="2312"/>
      <c r="H32" s="2313" t="s">
        <v>54</v>
      </c>
      <c r="I32" s="2313"/>
      <c r="J32" s="2314"/>
      <c r="K32" s="2166">
        <f ca="1">Projekt!H330</f>
        <v>0</v>
      </c>
      <c r="L32" s="2167"/>
      <c r="M32" s="2162"/>
      <c r="N32" s="2163"/>
      <c r="O32" s="2154">
        <f ca="1">K32*O28</f>
        <v>0</v>
      </c>
      <c r="P32" s="2155"/>
    </row>
    <row r="33" spans="1:16" x14ac:dyDescent="0.4">
      <c r="A33" s="63">
        <v>15</v>
      </c>
      <c r="B33" s="2226" t="s">
        <v>57</v>
      </c>
      <c r="C33" s="2227"/>
      <c r="D33" s="2227"/>
      <c r="E33" s="2227"/>
      <c r="F33" s="2227"/>
      <c r="G33" s="2227"/>
      <c r="H33" s="2382" t="s">
        <v>288</v>
      </c>
      <c r="I33" s="2146"/>
      <c r="J33" s="2146"/>
      <c r="K33" s="2146"/>
      <c r="L33" s="2146"/>
      <c r="M33" s="2146"/>
      <c r="N33" s="2146"/>
      <c r="O33" s="2138">
        <f ca="1">SUM(O28:P32)</f>
        <v>44.42</v>
      </c>
      <c r="P33" s="2139"/>
    </row>
    <row r="34" spans="1:16" x14ac:dyDescent="0.4">
      <c r="A34" s="63">
        <v>16</v>
      </c>
      <c r="B34" s="2177" t="s">
        <v>58</v>
      </c>
      <c r="C34" s="2177"/>
      <c r="D34" s="2177"/>
      <c r="E34" s="2177"/>
      <c r="F34" s="2177"/>
      <c r="G34" s="2177"/>
      <c r="H34" s="2324" t="s">
        <v>59</v>
      </c>
      <c r="I34" s="2324"/>
      <c r="J34" s="2325"/>
      <c r="K34" s="2158">
        <f ca="1">Projekt!H331</f>
        <v>0.18554999999999999</v>
      </c>
      <c r="L34" s="2159"/>
      <c r="M34" s="2287"/>
      <c r="N34" s="2288"/>
      <c r="O34" s="2148">
        <f ca="1">K34*O33</f>
        <v>8.24</v>
      </c>
      <c r="P34" s="2149"/>
    </row>
    <row r="35" spans="1:16" ht="24.4" customHeight="1" x14ac:dyDescent="0.4">
      <c r="A35" s="63">
        <v>17</v>
      </c>
      <c r="B35" s="2203" t="s">
        <v>110</v>
      </c>
      <c r="C35" s="2204"/>
      <c r="D35" s="2204"/>
      <c r="E35" s="2204"/>
      <c r="F35" s="2204"/>
      <c r="G35" s="2204"/>
      <c r="H35" s="2204"/>
      <c r="I35" s="2204"/>
      <c r="J35" s="2205"/>
      <c r="K35" s="2152" t="s">
        <v>134</v>
      </c>
      <c r="L35" s="2153"/>
      <c r="M35" s="2152" t="str">
        <f>IF(Projekt!F272="Nein","Umlage in €/Std","Umlage in €/Std bzw U% x B15")</f>
        <v>Umlage in €/Std</v>
      </c>
      <c r="N35" s="2153"/>
      <c r="O35" s="2389"/>
      <c r="P35" s="2390"/>
    </row>
    <row r="36" spans="1:16" x14ac:dyDescent="0.4">
      <c r="A36" s="141" t="s">
        <v>60</v>
      </c>
      <c r="B36" s="2206">
        <f>Projekt!A334</f>
        <v>0</v>
      </c>
      <c r="C36" s="2207"/>
      <c r="D36" s="2207"/>
      <c r="E36" s="2207"/>
      <c r="F36" s="2207"/>
      <c r="G36" s="2207"/>
      <c r="H36" s="2207"/>
      <c r="I36" s="2207"/>
      <c r="J36" s="2208"/>
      <c r="K36" s="2401" t="str">
        <f>IF(Projekt!G334=0,"",Projekt!G334)</f>
        <v/>
      </c>
      <c r="L36" s="2402"/>
      <c r="M36" s="2383" t="str">
        <f ca="1">IFERROR(IF(AND(Projekt!F334=0,Projekt!G334=0),"",IF(Projekt!G334&gt;0,Projekt!G334*O$33,IF(Projekt!F334=0,"",Projekt!F334))),"")</f>
        <v/>
      </c>
      <c r="N36" s="2384"/>
      <c r="O36" s="2391"/>
      <c r="P36" s="2392"/>
    </row>
    <row r="37" spans="1:16" x14ac:dyDescent="0.4">
      <c r="A37" s="141" t="s">
        <v>61</v>
      </c>
      <c r="B37" s="2185">
        <f>Projekt!A335</f>
        <v>0</v>
      </c>
      <c r="C37" s="2186"/>
      <c r="D37" s="2186"/>
      <c r="E37" s="2186"/>
      <c r="F37" s="2186"/>
      <c r="G37" s="2186"/>
      <c r="H37" s="2186"/>
      <c r="I37" s="2186"/>
      <c r="J37" s="2187"/>
      <c r="K37" s="2395" t="str">
        <f>IF(Projekt!G335=0,"",Projekt!G335)</f>
        <v/>
      </c>
      <c r="L37" s="2396"/>
      <c r="M37" s="2358" t="str">
        <f ca="1">IFERROR(IF(AND(Projekt!F335=0,Projekt!G335=0),"",IF(Projekt!G335&gt;0,Projekt!G335*O$33,IF(Projekt!F335=0,"",Projekt!F335))),"")</f>
        <v/>
      </c>
      <c r="N37" s="2359"/>
      <c r="O37" s="2391"/>
      <c r="P37" s="2392"/>
    </row>
    <row r="38" spans="1:16" ht="15.4" thickBot="1" x14ac:dyDescent="0.45">
      <c r="A38" s="141" t="s">
        <v>62</v>
      </c>
      <c r="B38" s="2209" t="str">
        <f>Projekt!A336</f>
        <v/>
      </c>
      <c r="C38" s="2210"/>
      <c r="D38" s="2210"/>
      <c r="E38" s="2210"/>
      <c r="F38" s="2210"/>
      <c r="G38" s="2210"/>
      <c r="H38" s="2210"/>
      <c r="I38" s="2210"/>
      <c r="J38" s="2211"/>
      <c r="K38" s="2397" t="str">
        <f>IF(Projekt!G336=0,"",Projekt!G336)</f>
        <v/>
      </c>
      <c r="L38" s="2398"/>
      <c r="M38" s="2399" t="str">
        <f>IFERROR(IF(AND(Projekt!F336=0,Projekt!G336=0),"",IF(Projekt!G336&gt;0,Projekt!G336*O$33,IF(Projekt!F336=0,"",Projekt!F336))),"")</f>
        <v/>
      </c>
      <c r="N38" s="2400"/>
      <c r="O38" s="2393"/>
      <c r="P38" s="2394"/>
    </row>
    <row r="39" spans="1:16" ht="15.4" thickBot="1" x14ac:dyDescent="0.45">
      <c r="A39" s="64">
        <v>18</v>
      </c>
      <c r="B39" s="52" t="s">
        <v>293</v>
      </c>
      <c r="C39" s="4"/>
      <c r="D39" s="4"/>
      <c r="E39" s="4"/>
      <c r="F39" s="53"/>
      <c r="G39" s="53"/>
      <c r="H39" s="54"/>
      <c r="I39" s="2313" t="s">
        <v>295</v>
      </c>
      <c r="J39" s="2313"/>
      <c r="K39" s="2313"/>
      <c r="L39" s="2314"/>
      <c r="M39" s="2411" t="str">
        <f ca="1">IF(SUM(M36:N38)&gt;0,SUM(M36:N38),"")</f>
        <v/>
      </c>
      <c r="N39" s="2412"/>
      <c r="O39" s="2413">
        <f ca="1">O33+O34</f>
        <v>52.66</v>
      </c>
      <c r="P39" s="2412"/>
    </row>
    <row r="40" spans="1:16" ht="27.85" customHeight="1" thickBot="1" x14ac:dyDescent="0.45">
      <c r="A40" s="64">
        <v>19</v>
      </c>
      <c r="B40" s="2262" t="s">
        <v>235</v>
      </c>
      <c r="C40" s="2263"/>
      <c r="D40" s="2263"/>
      <c r="E40" s="2263"/>
      <c r="F40" s="2263"/>
      <c r="G40" s="2263"/>
      <c r="H40" s="2263"/>
      <c r="I40" s="2263"/>
      <c r="J40" s="2307"/>
      <c r="K40" s="2309" t="s">
        <v>289</v>
      </c>
      <c r="L40" s="2310"/>
      <c r="M40" s="474"/>
      <c r="N40" s="2385">
        <f ca="1">SUM(M39:P39)</f>
        <v>52.66</v>
      </c>
      <c r="O40" s="2385"/>
      <c r="P40" s="475"/>
    </row>
    <row r="41" spans="1:16" hidden="1" x14ac:dyDescent="0.4">
      <c r="A41" s="64"/>
      <c r="B41" s="222" t="s">
        <v>66</v>
      </c>
      <c r="C41" s="6"/>
      <c r="D41" s="6"/>
      <c r="E41" s="6"/>
      <c r="F41" s="6"/>
      <c r="G41" s="6"/>
      <c r="H41" s="7"/>
      <c r="I41" s="1"/>
      <c r="J41" s="31"/>
      <c r="K41" s="5"/>
      <c r="L41" s="5"/>
      <c r="M41" s="34"/>
      <c r="N41" s="35"/>
      <c r="O41" s="35"/>
      <c r="P41" s="36"/>
    </row>
    <row r="42" spans="1:16" x14ac:dyDescent="0.4">
      <c r="A42" s="64"/>
      <c r="B42" s="2408" t="s">
        <v>65</v>
      </c>
      <c r="C42" s="2409"/>
      <c r="D42" s="2409"/>
      <c r="E42" s="2409"/>
      <c r="F42" s="2409"/>
      <c r="G42" s="2409"/>
      <c r="H42" s="2410"/>
      <c r="I42" s="2188" t="s">
        <v>63</v>
      </c>
      <c r="J42" s="2189"/>
      <c r="K42" s="2188" t="s">
        <v>64</v>
      </c>
      <c r="L42" s="2189"/>
      <c r="M42" s="2386"/>
      <c r="N42" s="2387"/>
      <c r="O42" s="2387"/>
      <c r="P42" s="2388"/>
    </row>
    <row r="43" spans="1:16" ht="15.4" thickBot="1" x14ac:dyDescent="0.45">
      <c r="A43" s="64">
        <v>20</v>
      </c>
      <c r="B43" s="2318"/>
      <c r="C43" s="2319"/>
      <c r="D43" s="2319"/>
      <c r="E43" s="2319"/>
      <c r="F43" s="2319"/>
      <c r="G43" s="2319"/>
      <c r="H43" s="2320"/>
      <c r="I43" s="2190" t="str">
        <f ca="1">IF(M39="","",Projekt!G267)</f>
        <v/>
      </c>
      <c r="J43" s="2191"/>
      <c r="K43" s="2190">
        <f>Projekt!E339</f>
        <v>0.25802999999999998</v>
      </c>
      <c r="L43" s="2191"/>
      <c r="M43" s="2406" t="str">
        <f ca="1">IFERROR(I43*M39,"")</f>
        <v/>
      </c>
      <c r="N43" s="2407"/>
      <c r="O43" s="2406">
        <f ca="1">K43*O39</f>
        <v>13.59</v>
      </c>
      <c r="P43" s="2407"/>
    </row>
    <row r="44" spans="1:16" ht="15.4" thickBot="1" x14ac:dyDescent="0.45">
      <c r="A44" s="64">
        <v>21</v>
      </c>
      <c r="B44" s="2404" t="s">
        <v>292</v>
      </c>
      <c r="C44" s="2405"/>
      <c r="D44" s="2405"/>
      <c r="E44" s="2405"/>
      <c r="F44" s="2405"/>
      <c r="G44" s="2405"/>
      <c r="H44" s="2405"/>
      <c r="I44" s="2258" t="s">
        <v>291</v>
      </c>
      <c r="J44" s="2258"/>
      <c r="K44" s="2258"/>
      <c r="L44" s="2259"/>
      <c r="M44" s="2260">
        <f ca="1">IFERROR(SUM(M39,M43),"")</f>
        <v>0</v>
      </c>
      <c r="N44" s="2261"/>
      <c r="O44" s="2260">
        <f ca="1">SUM(O39:P43)</f>
        <v>66.25</v>
      </c>
      <c r="P44" s="2261"/>
    </row>
    <row r="45" spans="1:16" ht="27.85" customHeight="1" thickBot="1" x14ac:dyDescent="0.45">
      <c r="A45" s="65">
        <v>22</v>
      </c>
      <c r="B45" s="2262" t="s">
        <v>238</v>
      </c>
      <c r="C45" s="2263"/>
      <c r="D45" s="2263"/>
      <c r="E45" s="2263"/>
      <c r="F45" s="476" t="str">
        <f>B10</f>
        <v>Facharbeiter (&gt; 2Verwendungsjahr)</v>
      </c>
      <c r="G45" s="477"/>
      <c r="H45" s="477"/>
      <c r="I45" s="477"/>
      <c r="J45" s="478"/>
      <c r="K45" s="2309" t="s">
        <v>290</v>
      </c>
      <c r="L45" s="2310"/>
      <c r="M45" s="479"/>
      <c r="N45" s="2403">
        <f ca="1">SUM(M44:P44)</f>
        <v>66.25</v>
      </c>
      <c r="O45" s="2403"/>
      <c r="P45" s="473"/>
    </row>
    <row r="46" spans="1:16" hidden="1" x14ac:dyDescent="0.4">
      <c r="A46" s="221"/>
      <c r="B46" s="222" t="s">
        <v>66</v>
      </c>
      <c r="C46" s="1"/>
      <c r="D46" s="1"/>
      <c r="E46" s="1"/>
      <c r="F46" s="1"/>
      <c r="G46" s="1"/>
      <c r="H46" s="1"/>
      <c r="I46" s="3"/>
      <c r="J46" s="30"/>
      <c r="K46" s="30"/>
      <c r="L46" s="27"/>
      <c r="M46" s="29"/>
      <c r="N46" s="29"/>
      <c r="O46" s="28"/>
      <c r="P46" s="27"/>
    </row>
    <row r="47" spans="1:16" ht="55.9" customHeight="1" x14ac:dyDescent="0.4">
      <c r="A47" s="2144" t="str">
        <f>"Lizenziert für:
"&amp;'Lizenz u lies mich'!B32</f>
        <v>Lizenziert für:
Vers. 3.0</v>
      </c>
      <c r="B47" s="2145"/>
      <c r="C47" s="2145"/>
      <c r="D47" s="2305" t="str">
        <f ca="1">' K3 PP'!D47</f>
        <v>Keine gültige Lizenz! Nur als Testversion nutzbar!</v>
      </c>
      <c r="E47" s="2305"/>
      <c r="F47" s="2305"/>
      <c r="G47" s="2305"/>
      <c r="H47" s="2306"/>
      <c r="I47" s="2304"/>
      <c r="J47" s="2304"/>
      <c r="K47" s="2304"/>
      <c r="L47" s="2304"/>
      <c r="M47" s="2304"/>
      <c r="N47" s="2301" t="s">
        <v>598</v>
      </c>
      <c r="O47" s="2302"/>
      <c r="P47" s="2303"/>
    </row>
  </sheetData>
  <sheetProtection password="B984" sheet="1" scenarios="1" formatColumns="0" selectLockedCells="1"/>
  <mergeCells count="161">
    <mergeCell ref="N47:P47"/>
    <mergeCell ref="I47:M47"/>
    <mergeCell ref="D47:H47"/>
    <mergeCell ref="K5:P5"/>
    <mergeCell ref="K36:L36"/>
    <mergeCell ref="M34:N34"/>
    <mergeCell ref="K4:P4"/>
    <mergeCell ref="K3:P3"/>
    <mergeCell ref="K45:L45"/>
    <mergeCell ref="N45:O45"/>
    <mergeCell ref="B40:J40"/>
    <mergeCell ref="B44:H44"/>
    <mergeCell ref="I43:J43"/>
    <mergeCell ref="K43:L43"/>
    <mergeCell ref="M43:N43"/>
    <mergeCell ref="O43:P43"/>
    <mergeCell ref="I44:L44"/>
    <mergeCell ref="M44:N44"/>
    <mergeCell ref="O44:P44"/>
    <mergeCell ref="B42:H43"/>
    <mergeCell ref="B45:E45"/>
    <mergeCell ref="I39:L39"/>
    <mergeCell ref="M39:N39"/>
    <mergeCell ref="O39:P39"/>
    <mergeCell ref="K40:L40"/>
    <mergeCell ref="N40:O40"/>
    <mergeCell ref="I42:J42"/>
    <mergeCell ref="K42:L42"/>
    <mergeCell ref="M42:P42"/>
    <mergeCell ref="O34:P34"/>
    <mergeCell ref="B35:J35"/>
    <mergeCell ref="K35:L35"/>
    <mergeCell ref="M35:N35"/>
    <mergeCell ref="O35:P38"/>
    <mergeCell ref="B36:J36"/>
    <mergeCell ref="B37:J37"/>
    <mergeCell ref="K37:L37"/>
    <mergeCell ref="M37:N37"/>
    <mergeCell ref="B38:J38"/>
    <mergeCell ref="K38:L38"/>
    <mergeCell ref="M38:N38"/>
    <mergeCell ref="B32:G32"/>
    <mergeCell ref="H32:J32"/>
    <mergeCell ref="K32:L32"/>
    <mergeCell ref="M32:N32"/>
    <mergeCell ref="O32:P32"/>
    <mergeCell ref="B33:G33"/>
    <mergeCell ref="H33:N33"/>
    <mergeCell ref="O33:P33"/>
    <mergeCell ref="M36:N36"/>
    <mergeCell ref="B34:G34"/>
    <mergeCell ref="H34:J34"/>
    <mergeCell ref="K34:L34"/>
    <mergeCell ref="B30:G30"/>
    <mergeCell ref="H30:J30"/>
    <mergeCell ref="K30:L30"/>
    <mergeCell ref="M30:N30"/>
    <mergeCell ref="O30:P30"/>
    <mergeCell ref="B31:G31"/>
    <mergeCell ref="H31:J31"/>
    <mergeCell ref="K31:L31"/>
    <mergeCell ref="M31:N31"/>
    <mergeCell ref="O31:P31"/>
    <mergeCell ref="O27:P27"/>
    <mergeCell ref="B28:G28"/>
    <mergeCell ref="H28:M28"/>
    <mergeCell ref="O28:P28"/>
    <mergeCell ref="B29:N29"/>
    <mergeCell ref="O29:P29"/>
    <mergeCell ref="H25:J25"/>
    <mergeCell ref="K25:L25"/>
    <mergeCell ref="M25:N25"/>
    <mergeCell ref="O25:P25"/>
    <mergeCell ref="H26:J26"/>
    <mergeCell ref="K26:L26"/>
    <mergeCell ref="M26:N26"/>
    <mergeCell ref="O26:P26"/>
    <mergeCell ref="B27:N27"/>
    <mergeCell ref="B25:G25"/>
    <mergeCell ref="B26:G26"/>
    <mergeCell ref="B23:G23"/>
    <mergeCell ref="O23:P23"/>
    <mergeCell ref="H24:J24"/>
    <mergeCell ref="K24:L24"/>
    <mergeCell ref="M24:N24"/>
    <mergeCell ref="O24:P24"/>
    <mergeCell ref="B20:L20"/>
    <mergeCell ref="M20:N20"/>
    <mergeCell ref="O20:P20"/>
    <mergeCell ref="H21:N21"/>
    <mergeCell ref="O21:P21"/>
    <mergeCell ref="B22:G22"/>
    <mergeCell ref="H22:J22"/>
    <mergeCell ref="K22:L22"/>
    <mergeCell ref="M22:N22"/>
    <mergeCell ref="O22:P22"/>
    <mergeCell ref="B24:G24"/>
    <mergeCell ref="H23:M23"/>
    <mergeCell ref="B18:E18"/>
    <mergeCell ref="F18:G18"/>
    <mergeCell ref="I18:J18"/>
    <mergeCell ref="K18:N18"/>
    <mergeCell ref="I19:J19"/>
    <mergeCell ref="K19:O19"/>
    <mergeCell ref="B16:E16"/>
    <mergeCell ref="F16:G16"/>
    <mergeCell ref="I16:J16"/>
    <mergeCell ref="K16:N16"/>
    <mergeCell ref="B17:E17"/>
    <mergeCell ref="F17:G17"/>
    <mergeCell ref="I17:J17"/>
    <mergeCell ref="K17:N17"/>
    <mergeCell ref="B15:E15"/>
    <mergeCell ref="F15:G15"/>
    <mergeCell ref="I15:J15"/>
    <mergeCell ref="K15:N15"/>
    <mergeCell ref="B13:E13"/>
    <mergeCell ref="F13:G13"/>
    <mergeCell ref="I13:J13"/>
    <mergeCell ref="K13:N13"/>
    <mergeCell ref="B14:E14"/>
    <mergeCell ref="F14:G14"/>
    <mergeCell ref="I14:J14"/>
    <mergeCell ref="K14:N14"/>
    <mergeCell ref="B12:E12"/>
    <mergeCell ref="F12:G12"/>
    <mergeCell ref="I12:J12"/>
    <mergeCell ref="K12:N12"/>
    <mergeCell ref="B9:E9"/>
    <mergeCell ref="F9:G9"/>
    <mergeCell ref="I9:J9"/>
    <mergeCell ref="K9:O9"/>
    <mergeCell ref="B10:E10"/>
    <mergeCell ref="F10:G10"/>
    <mergeCell ref="I10:J10"/>
    <mergeCell ref="K10:N10"/>
    <mergeCell ref="K11:N11"/>
    <mergeCell ref="A47:C47"/>
    <mergeCell ref="B1:E1"/>
    <mergeCell ref="A2:A8"/>
    <mergeCell ref="B2:E3"/>
    <mergeCell ref="F2:J3"/>
    <mergeCell ref="K2:P2"/>
    <mergeCell ref="C4:E4"/>
    <mergeCell ref="G4:J4"/>
    <mergeCell ref="B7:E7"/>
    <mergeCell ref="F7:I7"/>
    <mergeCell ref="K7:P7"/>
    <mergeCell ref="M8:N8"/>
    <mergeCell ref="O8:P8"/>
    <mergeCell ref="B5:D5"/>
    <mergeCell ref="F5:I5"/>
    <mergeCell ref="B6:D6"/>
    <mergeCell ref="F6:I6"/>
    <mergeCell ref="K6:L6"/>
    <mergeCell ref="M6:P6"/>
    <mergeCell ref="G1:P1"/>
    <mergeCell ref="B8:L8"/>
    <mergeCell ref="B11:E11"/>
    <mergeCell ref="F11:G11"/>
    <mergeCell ref="I11:J11"/>
  </mergeCells>
  <conditionalFormatting sqref="B5:D5">
    <cfRule type="expression" dxfId="56" priority="12">
      <formula>$E$5="X"</formula>
    </cfRule>
  </conditionalFormatting>
  <conditionalFormatting sqref="B6:D6">
    <cfRule type="expression" dxfId="55" priority="11">
      <formula>$E$6="X"</formula>
    </cfRule>
  </conditionalFormatting>
  <conditionalFormatting sqref="F5:I5">
    <cfRule type="expression" dxfId="54" priority="10">
      <formula>$J$5="X"</formula>
    </cfRule>
  </conditionalFormatting>
  <conditionalFormatting sqref="F6:I6">
    <cfRule type="expression" dxfId="53" priority="9">
      <formula>$J$6="X"</formula>
    </cfRule>
  </conditionalFormatting>
  <conditionalFormatting sqref="N40:O40 N45:O45 K3:P5">
    <cfRule type="expression" dxfId="52" priority="8">
      <formula>OR(_OK?&lt;&gt;"OK!",_OK_KV?&lt;&gt;"OK_KV!")</formula>
    </cfRule>
  </conditionalFormatting>
  <conditionalFormatting sqref="B36:J38">
    <cfRule type="expression" dxfId="51" priority="7">
      <formula>$B36=0</formula>
    </cfRule>
  </conditionalFormatting>
  <conditionalFormatting sqref="I19:J19 O21:P21 D47:H47">
    <cfRule type="expression" dxfId="50" priority="6">
      <formula>_OK?&lt;&gt;"OK!"</formula>
    </cfRule>
  </conditionalFormatting>
  <conditionalFormatting sqref="N40:O40 N45:O45">
    <cfRule type="expression" dxfId="49" priority="5">
      <formula>_OK?&lt;&gt;"OK!"</formula>
    </cfRule>
  </conditionalFormatting>
  <pageMargins left="0.59055118110236227" right="0.19685039370078741" top="0.39370078740157483" bottom="0.59055118110236227" header="0.19685039370078741" footer="0.11811023622047245"/>
  <pageSetup paperSize="9" orientation="portrait" r:id="rId1"/>
  <headerFooter>
    <oddFooter>&amp;L&amp;"-,Standard"&amp;9K3-Blatt "Personalpreis REGIE01"
Seite: &amp;P&amp;R&amp;"-,Standard"&amp;9&amp;F</oddFooter>
  </headerFooter>
  <ignoredErrors>
    <ignoredError sqref="O23" formula="1"/>
  </ignoredErrors>
  <extLst>
    <ext xmlns:x14="http://schemas.microsoft.com/office/spreadsheetml/2009/9/main" uri="{78C0D931-6437-407d-A8EE-F0AAD7539E65}">
      <x14:conditionalFormattings>
        <x14:conditionalFormatting xmlns:xm="http://schemas.microsoft.com/office/excel/2006/main">
          <x14:cfRule type="expression" priority="4" id="{CB0A6BD6-5C0C-45C0-B045-08B67D4F4298}">
            <xm:f>Projekt!$F$272="Nein"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2" id="{30C53637-5740-4B34-8F66-BE402E719454}">
            <xm:f>Projekt!$F$272="Nein"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1" id="{612C2067-269D-4C0D-B2C0-968E7FE15633}">
            <xm:f>Projekt!$F$272="Nein"</xm:f>
            <x14:dxf>
              <font>
                <color theme="0"/>
              </font>
              <border>
                <left style="thin">
                  <color theme="0"/>
                </left>
                <vertical/>
                <horizontal/>
              </border>
            </x14:dxf>
          </x14:cfRule>
          <xm:sqref>K35:L38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I m O T 5 x u B Y G n A A A A + Q A A A B I A H A B D b 2 5 m a W c v U G F j a 2 F n Z S 5 4 b W w g o h g A K K A U A A A A A A A A A A A A A A A A A A A A A A A A A A A A h Y / N C o J A G E V f R W b v / E l R 8 j k S b R O C I t r K O O m Q j u G M j e / W o k f q F R L K a t f y X s 6 F c x + 3 O 6 R D U w d X 1 V n d m g Q x T F G g j G w L b c o E 9 e 4 U L l A q Y J v L c 1 6 q Y I S N j Q e r E 1 Q 5 d 4 k J 8 d 5 j H + G 2 K w m n l J F j t t n J S j V 5 q I 1 1 u Z E K f V b F / x U S c H j J C I 7 n D M / Y k m M W U Q Z k 6 i H T 5 s v w U R l T I D 8 l r P v a 9 Z 0 S h Q p X e y B T B P K + I Z 5 Q S w M E F A A C A A g A 8 I m O 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C J j k 8 o i k e 4 D g A A A B E A A A A T A B w A R m 9 y b X V s Y X M v U 2 V j d G l v b j E u b S C i G A A o o B Q A A A A A A A A A A A A A A A A A A A A A A A A A A A A r T k 0 u y c z P U w i G 0 I b W A F B L A Q I t A B Q A A g A I A P C J j k + c b g W B p w A A A P k A A A A S A A A A A A A A A A A A A A A A A A A A A A B D b 2 5 m a W c v U G F j a 2 F n Z S 5 4 b W x Q S w E C L Q A U A A I A C A D w i Y 5 P D 8 r p q 6 Q A A A D p A A A A E w A A A A A A A A A A A A A A A A D z A A A A W 0 N v b n R l b n R f V H l w Z X N d L n h t b F B L A Q I t A B Q A A g A I A P C J j k 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V y F W 7 o Z l Q o O Z n B d L R x u q A A A A A A I A A A A A A A N m A A D A A A A A E A A A A O D M 5 N I s F B l L 7 v e u W P m h Q P o A A A A A B I A A A K A A A A A Q A A A A E L m p D r 7 x L d T 2 Q Y b + a 3 E j n l A A A A C B l w M r C o 1 t b U x p G G i p 6 f p 6 D L w n W p z Y C t G i 4 z E Z z n S + u v H Z P V L L X X 1 j L O b / y k r M W R s A C 5 2 e M b 4 v 6 g 3 T z p i P A 2 7 3 Q q l 2 R u Q i y 2 B x D q v s k u C z L h Q A A A C f + 9 4 c h J s o i + b R 8 H B 2 G S G / r F N E 4 w = = < / D a t a M a s h u p > 
</file>

<file path=customXml/itemProps1.xml><?xml version="1.0" encoding="utf-8"?>
<ds:datastoreItem xmlns:ds="http://schemas.openxmlformats.org/officeDocument/2006/customXml" ds:itemID="{B2D5EEA0-35C9-4959-AD19-0509F5C81D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40</vt:i4>
      </vt:variant>
    </vt:vector>
  </HeadingPairs>
  <TitlesOfParts>
    <vt:vector size="53" baseType="lpstr">
      <vt:lpstr>Lizenz u lies mich</vt:lpstr>
      <vt:lpstr>L-Rechner</vt:lpstr>
      <vt:lpstr>Stammdaten</vt:lpstr>
      <vt:lpstr>Projekt</vt:lpstr>
      <vt:lpstr>Report</vt:lpstr>
      <vt:lpstr>K2 GZ</vt:lpstr>
      <vt:lpstr>K2a Z f ...</vt:lpstr>
      <vt:lpstr> K3 PP</vt:lpstr>
      <vt:lpstr> K3 Regie1</vt:lpstr>
      <vt:lpstr> K3 Regie2</vt:lpstr>
      <vt:lpstr> K3 Regie3</vt:lpstr>
      <vt:lpstr> K3 Regie4</vt:lpstr>
      <vt:lpstr> K3 Regiepartie1</vt:lpstr>
      <vt:lpstr>_Anzeige_Prozent</vt:lpstr>
      <vt:lpstr>_F1</vt:lpstr>
      <vt:lpstr>_F10</vt:lpstr>
      <vt:lpstr>_F11</vt:lpstr>
      <vt:lpstr>_F12</vt:lpstr>
      <vt:lpstr>_F13</vt:lpstr>
      <vt:lpstr>_F14</vt:lpstr>
      <vt:lpstr>_F15</vt:lpstr>
      <vt:lpstr>_F16</vt:lpstr>
      <vt:lpstr>_F2</vt:lpstr>
      <vt:lpstr>_F3</vt:lpstr>
      <vt:lpstr>_F4</vt:lpstr>
      <vt:lpstr>_F5</vt:lpstr>
      <vt:lpstr>_F6</vt:lpstr>
      <vt:lpstr>_F7</vt:lpstr>
      <vt:lpstr>_F8</vt:lpstr>
      <vt:lpstr>_F9</vt:lpstr>
      <vt:lpstr>_OK?</vt:lpstr>
      <vt:lpstr>_OK_KV?</vt:lpstr>
      <vt:lpstr>_Test</vt:lpstr>
      <vt:lpstr>_Verband</vt:lpstr>
      <vt:lpstr>_Verband_KollV2</vt:lpstr>
      <vt:lpstr>_Verband_KollV3</vt:lpstr>
      <vt:lpstr>_Verband_KollV4</vt:lpstr>
      <vt:lpstr>_Verband_KollV5</vt:lpstr>
      <vt:lpstr>AufzahlungsSTD</vt:lpstr>
      <vt:lpstr>AufzahlungsStdEURO</vt:lpstr>
      <vt:lpstr>DienstreiseSTD</vt:lpstr>
      <vt:lpstr>DienstreiseTAG</vt:lpstr>
      <vt:lpstr>DienstreiseWOCHE</vt:lpstr>
      <vt:lpstr>' K3 PP'!Druckbereich</vt:lpstr>
      <vt:lpstr>'K2 GZ'!Druckbereich</vt:lpstr>
      <vt:lpstr>'K2a Z f ...'!Druckbereich</vt:lpstr>
      <vt:lpstr>Projekt!Druckbereich</vt:lpstr>
      <vt:lpstr>Stammdaten!Druckbereich</vt:lpstr>
      <vt:lpstr>ErschwernisZul</vt:lpstr>
      <vt:lpstr>K2GZWerte</vt:lpstr>
      <vt:lpstr>KVBezeichnung</vt:lpstr>
      <vt:lpstr>MehrarbeitsStd</vt:lpstr>
      <vt:lpstr>UmlagenK3spalteA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K3 Kalkulatonsprogramm nach ÖNORM B 2061:2020</dc:title>
  <dc:creator>Andreas Kropik</dc:creator>
  <cp:keywords>Preisermittlung für Bauleistungen Kalkulationsformblatt K3</cp:keywords>
  <cp:lastModifiedBy>Andreas Kropik</cp:lastModifiedBy>
  <cp:lastPrinted>2022-02-22T18:05:21Z</cp:lastPrinted>
  <dcterms:created xsi:type="dcterms:W3CDTF">2003-03-04T08:55:28Z</dcterms:created>
  <dcterms:modified xsi:type="dcterms:W3CDTF">2023-04-30T13:33:10Z</dcterms:modified>
  <cp:contentStatus/>
</cp:coreProperties>
</file>